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10" sheetId="1" r:id="rId4"/>
    <sheet state="visible" name="ext" sheetId="2" r:id="rId5"/>
  </sheets>
  <definedNames/>
  <calcPr/>
</workbook>
</file>

<file path=xl/sharedStrings.xml><?xml version="1.0" encoding="utf-8"?>
<sst xmlns="http://schemas.openxmlformats.org/spreadsheetml/2006/main" count="322" uniqueCount="123">
  <si>
    <t>Proportion de femmes permanentes par famille professionnelle (FP)</t>
  </si>
  <si>
    <t>BRANCHE D'ACTIVITE PROFESSIONNELLE</t>
  </si>
  <si>
    <t>FAMILLE PROFESSIONNELLE</t>
  </si>
  <si>
    <t>Hommes</t>
  </si>
  <si>
    <t>Femmes</t>
  </si>
  <si>
    <t>TOTAL</t>
  </si>
  <si>
    <t>% Femmes</t>
  </si>
  <si>
    <t>BAP A : Sciences du vivant, de la terre et de l’environnement</t>
  </si>
  <si>
    <t>AA</t>
  </si>
  <si>
    <t>AB</t>
  </si>
  <si>
    <t>AC</t>
  </si>
  <si>
    <t>AD</t>
  </si>
  <si>
    <t>BAP B : Sciences chimiques et sciences des matériaux</t>
  </si>
  <si>
    <t>BA</t>
  </si>
  <si>
    <t>BA|BB</t>
  </si>
  <si>
    <t>BB</t>
  </si>
  <si>
    <t>BC</t>
  </si>
  <si>
    <t>BC|BD</t>
  </si>
  <si>
    <t>BD</t>
  </si>
  <si>
    <t>BAP C : Sciences de l’ingénieur et  instrumentation scientifique</t>
  </si>
  <si>
    <t>CA</t>
  </si>
  <si>
    <t>CB</t>
  </si>
  <si>
    <t>CC</t>
  </si>
  <si>
    <t>CD</t>
  </si>
  <si>
    <t>BAP D : Sciences humaines et sociales</t>
  </si>
  <si>
    <t>DA</t>
  </si>
  <si>
    <t>DB</t>
  </si>
  <si>
    <t>DC</t>
  </si>
  <si>
    <t>DD</t>
  </si>
  <si>
    <t>BAP E : Informatique, statistiques et calcul scientifique</t>
  </si>
  <si>
    <t>EA</t>
  </si>
  <si>
    <t>EA|EB</t>
  </si>
  <si>
    <t>EB</t>
  </si>
  <si>
    <t>EC</t>
  </si>
  <si>
    <t>ED</t>
  </si>
  <si>
    <t>EE</t>
  </si>
  <si>
    <t>BAP F : Culture, communication, production et diffusion des savoirs</t>
  </si>
  <si>
    <t>FA</t>
  </si>
  <si>
    <t>FB</t>
  </si>
  <si>
    <t>FC</t>
  </si>
  <si>
    <t>FD</t>
  </si>
  <si>
    <t>BAP G : Patrimoine immobilier, logistique, restauration et prévention</t>
  </si>
  <si>
    <t>GA</t>
  </si>
  <si>
    <t>GA|GB</t>
  </si>
  <si>
    <t>GB</t>
  </si>
  <si>
    <t>GC</t>
  </si>
  <si>
    <t>BAP J : Gestion et pilotage</t>
  </si>
  <si>
    <t>JA</t>
  </si>
  <si>
    <t>JB</t>
  </si>
  <si>
    <t>JC</t>
  </si>
  <si>
    <t>JC|JD|JE</t>
  </si>
  <si>
    <t>JD</t>
  </si>
  <si>
    <t>JE</t>
  </si>
  <si>
    <t>JF</t>
  </si>
  <si>
    <t>Ens des IT par FP et sexe</t>
  </si>
  <si>
    <t>Table des FP et libellé</t>
  </si>
  <si>
    <t>Nbre de FP par BAP</t>
  </si>
  <si>
    <t>Table des BAP avec libellé</t>
  </si>
  <si>
    <t>Mettre 1</t>
  </si>
  <si>
    <t>clé</t>
  </si>
  <si>
    <t>Final_FP 2023</t>
  </si>
  <si>
    <t>Sexe_Ok</t>
  </si>
  <si>
    <t>CompteDeMATRICULE</t>
  </si>
  <si>
    <t>Final_FP</t>
  </si>
  <si>
    <t>Final_Libellé FP</t>
  </si>
  <si>
    <t>Final_BAP 2023</t>
  </si>
  <si>
    <t>Nbre FP</t>
  </si>
  <si>
    <t>Final_Libellé BAP 2023</t>
  </si>
  <si>
    <t>Biologie et santé, Sciences de la vie et de la terre</t>
  </si>
  <si>
    <t>A</t>
  </si>
  <si>
    <t>Sciences du vivant, de la terre et de l’environnement</t>
  </si>
  <si>
    <t>Expérimentation et production animales</t>
  </si>
  <si>
    <t>B</t>
  </si>
  <si>
    <t>Sciences chimiques et Sciences des matériaux</t>
  </si>
  <si>
    <t>Expérimentation et production végétales</t>
  </si>
  <si>
    <t>C</t>
  </si>
  <si>
    <t>Sciences de l’Ingénieur et  instrumentation scientifique</t>
  </si>
  <si>
    <t>Environnements géo-naturels et anthropisés</t>
  </si>
  <si>
    <t>D</t>
  </si>
  <si>
    <t>Sciences Humaines et Sociales</t>
  </si>
  <si>
    <t>Analyse chimique</t>
  </si>
  <si>
    <t>E</t>
  </si>
  <si>
    <t>Informatique, Statistiques et Calcul scientifique</t>
  </si>
  <si>
    <t>Analyse chimique|Synthèse chimique</t>
  </si>
  <si>
    <t>F</t>
  </si>
  <si>
    <t>Culture, Communication, Production et diffusion des savoirs</t>
  </si>
  <si>
    <t>Synthèse chimique</t>
  </si>
  <si>
    <t>G</t>
  </si>
  <si>
    <t>Patrimoine immobilier, Logistique, Restauration et Prévention</t>
  </si>
  <si>
    <t>Science des matériaux / caractérisation</t>
  </si>
  <si>
    <t>J</t>
  </si>
  <si>
    <t>Gestion et Pilotage</t>
  </si>
  <si>
    <t>Science des matériaux / caractérisation|Science des matériaux / élaboration</t>
  </si>
  <si>
    <t>Science des matériaux / élaboration</t>
  </si>
  <si>
    <t>Assurance qualité / Assurance produit</t>
  </si>
  <si>
    <t>Instrumentation et expérimentation</t>
  </si>
  <si>
    <t>Électronique, électrotechnique, contrôle-commande</t>
  </si>
  <si>
    <t>Étude et réalisation Domaines : mécanique, chaudronnerie, verrerie</t>
  </si>
  <si>
    <t>Production, traitement et analyse des données</t>
  </si>
  <si>
    <t>Sciences de l’information géographique</t>
  </si>
  <si>
    <t>Analyse des sources historiques et culturelles</t>
  </si>
  <si>
    <t>Recueil et analyse des sources archéologiques</t>
  </si>
  <si>
    <t>Ingénierie des systèmes d'information</t>
  </si>
  <si>
    <t>Ingénierie des systèmes d'information|Ingénierie technique et de production</t>
  </si>
  <si>
    <t>Ingénierie technique et de production</t>
  </si>
  <si>
    <t>Ingénierie logicielle</t>
  </si>
  <si>
    <t>Statistiques</t>
  </si>
  <si>
    <t>Calcul scientifique</t>
  </si>
  <si>
    <t>Information scientifique et technique, documentation et collections patrimoniales</t>
  </si>
  <si>
    <t>Médiation scientifique, culture et communication</t>
  </si>
  <si>
    <t>Édition et graphisme</t>
  </si>
  <si>
    <t>Productions audiovisuelles, productions pédagogiques et web</t>
  </si>
  <si>
    <t>Patrimoine immobilier</t>
  </si>
  <si>
    <t>Patrimoine immobilier|Logistique</t>
  </si>
  <si>
    <t>Logistique</t>
  </si>
  <si>
    <t>Prévention</t>
  </si>
  <si>
    <t>Formation continue, orientation et insertion professionnelle</t>
  </si>
  <si>
    <t>Partenariat, valorisation de la recherche, coopération internationale</t>
  </si>
  <si>
    <t>Administration et pilotage</t>
  </si>
  <si>
    <t>Administration et pilotage|Ressources humaines|Gestion financière et comptable</t>
  </si>
  <si>
    <t>Ressources humaines</t>
  </si>
  <si>
    <t>Gestion financière et comptable</t>
  </si>
  <si>
    <t>Affaires juridiques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</si>
</sst>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%"/>
  </numFmts>
  <fonts count="17">
    <font>
      <sz val="10.0"/>
      <color rgb="FF000000"/>
      <name val="Arial"/>
      <scheme val="minor"/>
    </font>
    <font>
      <sz val="10.0"/>
      <color theme="1"/>
      <name val="Arial"/>
    </font>
    <font>
      <b/>
      <sz val="14.0"/>
      <color theme="1"/>
      <name val="Arial"/>
    </font>
    <font>
      <b/>
      <sz val="12.0"/>
      <color theme="1"/>
      <name val="Arial"/>
    </font>
    <font>
      <b/>
      <sz val="10.0"/>
      <color rgb="FFFF0000"/>
      <name val="Arial"/>
    </font>
    <font>
      <sz val="10.0"/>
      <color rgb="FFFFFFFF"/>
      <name val="Arial"/>
    </font>
    <font>
      <i/>
      <sz val="8.0"/>
      <color theme="1"/>
      <name val="Arial"/>
    </font>
    <font>
      <b/>
      <sz val="12.0"/>
      <color theme="1"/>
      <name val="Arial Narrow"/>
    </font>
    <font/>
    <font>
      <b/>
      <sz val="8.0"/>
      <color theme="1"/>
      <name val="DUTCH"/>
    </font>
    <font>
      <sz val="8.0"/>
      <color theme="1"/>
      <name val="Arial Narrow"/>
    </font>
    <font>
      <sz val="8.0"/>
      <color theme="1"/>
      <name val="DUTCH"/>
    </font>
    <font>
      <sz val="11.0"/>
      <color theme="1"/>
      <name val="Arial"/>
    </font>
    <font>
      <b/>
      <sz val="11.0"/>
      <color theme="1"/>
      <name val="Arial"/>
    </font>
    <font>
      <color theme="1"/>
      <name val="Arial"/>
      <scheme val="minor"/>
    </font>
    <font>
      <sz val="11.0"/>
      <color rgb="FF000000"/>
      <name val="Calibri"/>
    </font>
    <font>
      <sz val="11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C0C0C0"/>
        <bgColor rgb="FFC0C0C0"/>
      </patternFill>
    </fill>
  </fills>
  <borders count="48">
    <border/>
    <border>
      <left style="double">
        <color rgb="FF000000"/>
      </left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tted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dotted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dotted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tted">
        <color rgb="FF000000"/>
      </bottom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bottom style="dotted">
        <color rgb="FF000000"/>
      </bottom>
    </border>
    <border>
      <left style="thin">
        <color rgb="FF000000"/>
      </left>
      <right style="double">
        <color rgb="FF000000"/>
      </right>
      <bottom style="dotted">
        <color rgb="FF000000"/>
      </bottom>
    </border>
    <border>
      <left style="double">
        <color rgb="FF000000"/>
      </left>
      <right style="thin">
        <color rgb="FF000000"/>
      </right>
      <top/>
      <bottom style="dotted">
        <color rgb="FF000000"/>
      </bottom>
    </border>
    <border>
      <left style="thin">
        <color rgb="FF000000"/>
      </left>
      <right style="thin">
        <color rgb="FF000000"/>
      </right>
      <top/>
      <bottom style="dotted">
        <color rgb="FF000000"/>
      </bottom>
    </border>
    <border>
      <left style="thin">
        <color rgb="FF000000"/>
      </left>
      <right style="double">
        <color rgb="FF000000"/>
      </right>
      <top/>
      <bottom style="dotted">
        <color rgb="FF000000"/>
      </bottom>
    </border>
    <border>
      <left style="double">
        <color rgb="FF000000"/>
      </left>
      <right style="double">
        <color rgb="FF000000"/>
      </right>
      <bottom style="dotted">
        <color rgb="FF000000"/>
      </bottom>
    </border>
    <border>
      <left style="double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</border>
    <border>
      <left style="thin">
        <color rgb="FF000000"/>
      </left>
      <right style="double">
        <color rgb="FF000000"/>
      </right>
    </border>
    <border>
      <left style="double">
        <color rgb="FF000000"/>
      </left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double">
        <color rgb="FF000000"/>
      </right>
      <top/>
      <bottom/>
    </border>
    <border>
      <top style="double">
        <color rgb="FF000000"/>
      </top>
      <bottom style="double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C0C0C0"/>
      </bottom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C0C0C0"/>
      </bottom>
    </border>
    <border>
      <right style="thin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thin">
        <color rgb="FFC0C0C0"/>
      </right>
      <top style="thin">
        <color rgb="FFC0C0C0"/>
      </top>
      <bottom style="thin">
        <color rgb="FF000000"/>
      </bottom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000000"/>
      </bottom>
    </border>
    <border>
      <left style="thin">
        <color rgb="FFC0C0C0"/>
      </left>
      <right style="thin">
        <color rgb="FF000000"/>
      </right>
      <top style="thin">
        <color rgb="FFC0C0C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C0C0C0"/>
      </right>
      <top style="thin">
        <color rgb="FF000000"/>
      </top>
      <bottom style="thin">
        <color rgb="FFC0C0C0"/>
      </bottom>
    </border>
    <border>
      <left style="thin">
        <color rgb="FFC0C0C0"/>
      </left>
      <right style="thin">
        <color rgb="FFC0C0C0"/>
      </right>
      <top style="thin">
        <color rgb="FF000000"/>
      </top>
      <bottom style="thin">
        <color rgb="FFC0C0C0"/>
      </bottom>
    </border>
    <border>
      <left style="thin">
        <color rgb="FFC0C0C0"/>
      </left>
      <right style="thin">
        <color rgb="FF000000"/>
      </right>
      <top style="thin">
        <color rgb="FF000000"/>
      </top>
      <bottom style="thin">
        <color rgb="FFC0C0C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6" numFmtId="0" xfId="0" applyFont="1"/>
    <xf borderId="1" fillId="0" fontId="7" numFmtId="0" xfId="0" applyAlignment="1" applyBorder="1" applyFont="1">
      <alignment vertical="center"/>
    </xf>
    <xf borderId="1" fillId="0" fontId="7" numFmtId="0" xfId="0" applyAlignment="1" applyBorder="1" applyFont="1">
      <alignment horizontal="left" vertical="center"/>
    </xf>
    <xf borderId="2" fillId="0" fontId="8" numFmtId="0" xfId="0" applyBorder="1" applyFont="1"/>
    <xf borderId="3" fillId="2" fontId="7" numFmtId="0" xfId="0" applyAlignment="1" applyBorder="1" applyFill="1" applyFont="1">
      <alignment horizontal="center" vertical="center"/>
    </xf>
    <xf borderId="4" fillId="2" fontId="7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center" vertical="center"/>
    </xf>
    <xf borderId="6" fillId="0" fontId="7" numFmtId="0" xfId="0" applyAlignment="1" applyBorder="1" applyFont="1">
      <alignment horizontal="center" shrinkToFit="0" vertical="center" wrapText="1"/>
    </xf>
    <xf borderId="7" fillId="0" fontId="3" numFmtId="0" xfId="0" applyAlignment="1" applyBorder="1" applyFont="1">
      <alignment horizontal="left" shrinkToFit="0" vertical="center" wrapText="1"/>
    </xf>
    <xf borderId="8" fillId="0" fontId="9" numFmtId="0" xfId="0" applyAlignment="1" applyBorder="1" applyFont="1">
      <alignment horizontal="center"/>
    </xf>
    <xf borderId="9" fillId="0" fontId="10" numFmtId="0" xfId="0" applyBorder="1" applyFont="1"/>
    <xf borderId="10" fillId="2" fontId="11" numFmtId="3" xfId="0" applyAlignment="1" applyBorder="1" applyFont="1" applyNumberFormat="1">
      <alignment horizontal="center"/>
    </xf>
    <xf borderId="11" fillId="2" fontId="11" numFmtId="3" xfId="0" applyAlignment="1" applyBorder="1" applyFont="1" applyNumberFormat="1">
      <alignment horizontal="center"/>
    </xf>
    <xf borderId="9" fillId="2" fontId="9" numFmtId="3" xfId="0" applyAlignment="1" applyBorder="1" applyFont="1" applyNumberFormat="1">
      <alignment horizontal="center"/>
    </xf>
    <xf borderId="12" fillId="0" fontId="9" numFmtId="164" xfId="0" applyAlignment="1" applyBorder="1" applyFont="1" applyNumberFormat="1">
      <alignment horizontal="center"/>
    </xf>
    <xf borderId="13" fillId="0" fontId="8" numFmtId="0" xfId="0" applyBorder="1" applyFont="1"/>
    <xf borderId="14" fillId="0" fontId="9" numFmtId="0" xfId="0" applyAlignment="1" applyBorder="1" applyFont="1">
      <alignment horizontal="center"/>
    </xf>
    <xf borderId="15" fillId="0" fontId="10" numFmtId="0" xfId="0" applyBorder="1" applyFont="1"/>
    <xf borderId="16" fillId="2" fontId="11" numFmtId="3" xfId="0" applyAlignment="1" applyBorder="1" applyFont="1" applyNumberFormat="1">
      <alignment horizontal="center"/>
    </xf>
    <xf borderId="17" fillId="2" fontId="11" numFmtId="3" xfId="0" applyAlignment="1" applyBorder="1" applyFont="1" applyNumberFormat="1">
      <alignment horizontal="center"/>
    </xf>
    <xf borderId="18" fillId="2" fontId="9" numFmtId="3" xfId="0" applyAlignment="1" applyBorder="1" applyFont="1" applyNumberFormat="1">
      <alignment horizontal="center"/>
    </xf>
    <xf borderId="19" fillId="0" fontId="9" numFmtId="164" xfId="0" applyAlignment="1" applyBorder="1" applyFont="1" applyNumberFormat="1">
      <alignment horizontal="center"/>
    </xf>
    <xf borderId="20" fillId="0" fontId="8" numFmtId="0" xfId="0" applyBorder="1" applyFont="1"/>
    <xf borderId="21" fillId="0" fontId="9" numFmtId="0" xfId="0" applyAlignment="1" applyBorder="1" applyFont="1">
      <alignment horizontal="center"/>
    </xf>
    <xf borderId="22" fillId="0" fontId="10" numFmtId="0" xfId="0" applyBorder="1" applyFont="1"/>
    <xf borderId="23" fillId="2" fontId="11" numFmtId="3" xfId="0" applyAlignment="1" applyBorder="1" applyFont="1" applyNumberFormat="1">
      <alignment horizontal="center"/>
    </xf>
    <xf borderId="24" fillId="2" fontId="11" numFmtId="3" xfId="0" applyAlignment="1" applyBorder="1" applyFont="1" applyNumberFormat="1">
      <alignment horizontal="center"/>
    </xf>
    <xf borderId="25" fillId="2" fontId="9" numFmtId="3" xfId="0" applyAlignment="1" applyBorder="1" applyFont="1" applyNumberFormat="1">
      <alignment horizontal="center"/>
    </xf>
    <xf borderId="13" fillId="0" fontId="9" numFmtId="164" xfId="0" applyAlignment="1" applyBorder="1" applyFont="1" applyNumberFormat="1">
      <alignment horizontal="center"/>
    </xf>
    <xf borderId="0" fillId="0" fontId="1" numFmtId="0" xfId="0" applyAlignment="1" applyFont="1">
      <alignment vertical="center"/>
    </xf>
    <xf borderId="1" fillId="0" fontId="7" numFmtId="0" xfId="0" applyAlignment="1" applyBorder="1" applyFont="1">
      <alignment horizontal="center" vertical="center"/>
    </xf>
    <xf borderId="26" fillId="0" fontId="8" numFmtId="0" xfId="0" applyBorder="1" applyFont="1"/>
    <xf borderId="3" fillId="2" fontId="7" numFmtId="3" xfId="0" applyAlignment="1" applyBorder="1" applyFont="1" applyNumberFormat="1">
      <alignment horizontal="center" vertical="center"/>
    </xf>
    <xf borderId="4" fillId="2" fontId="7" numFmtId="3" xfId="0" applyAlignment="1" applyBorder="1" applyFont="1" applyNumberFormat="1">
      <alignment horizontal="center" vertical="center"/>
    </xf>
    <xf borderId="5" fillId="2" fontId="7" numFmtId="3" xfId="0" applyAlignment="1" applyBorder="1" applyFont="1" applyNumberFormat="1">
      <alignment horizontal="center" vertical="center"/>
    </xf>
    <xf borderId="6" fillId="0" fontId="7" numFmtId="164" xfId="0" applyAlignment="1" applyBorder="1" applyFont="1" applyNumberFormat="1">
      <alignment horizontal="center" vertical="center"/>
    </xf>
    <xf borderId="0" fillId="0" fontId="12" numFmtId="0" xfId="0" applyFont="1"/>
    <xf borderId="0" fillId="0" fontId="1" numFmtId="164" xfId="0" applyFont="1" applyNumberFormat="1"/>
    <xf borderId="0" fillId="0" fontId="13" numFmtId="0" xfId="0" applyFont="1"/>
    <xf borderId="27" fillId="3" fontId="1" numFmtId="0" xfId="0" applyBorder="1" applyFill="1" applyFont="1"/>
    <xf borderId="0" fillId="0" fontId="14" numFmtId="0" xfId="0" applyFont="1"/>
    <xf borderId="28" fillId="4" fontId="15" numFmtId="0" xfId="0" applyAlignment="1" applyBorder="1" applyFill="1" applyFont="1">
      <alignment horizontal="center"/>
    </xf>
    <xf borderId="27" fillId="3" fontId="13" numFmtId="0" xfId="0" applyBorder="1" applyFont="1"/>
    <xf borderId="28" fillId="3" fontId="15" numFmtId="0" xfId="0" applyAlignment="1" applyBorder="1" applyFont="1">
      <alignment horizontal="center"/>
    </xf>
    <xf borderId="29" fillId="3" fontId="16" numFmtId="0" xfId="0" applyAlignment="1" applyBorder="1" applyFont="1">
      <alignment horizontal="center"/>
    </xf>
    <xf borderId="30" fillId="0" fontId="15" numFmtId="0" xfId="0" applyAlignment="1" applyBorder="1" applyFont="1">
      <alignment shrinkToFit="0" wrapText="1"/>
    </xf>
    <xf borderId="30" fillId="0" fontId="15" numFmtId="0" xfId="0" applyAlignment="1" applyBorder="1" applyFont="1">
      <alignment horizontal="right" shrinkToFit="0" wrapText="1"/>
    </xf>
    <xf borderId="31" fillId="0" fontId="15" numFmtId="0" xfId="0" applyAlignment="1" applyBorder="1" applyFont="1">
      <alignment shrinkToFit="0" wrapText="1"/>
    </xf>
    <xf borderId="32" fillId="0" fontId="15" numFmtId="0" xfId="0" applyAlignment="1" applyBorder="1" applyFont="1">
      <alignment horizontal="right" shrinkToFit="0" wrapText="1"/>
    </xf>
    <xf borderId="33" fillId="0" fontId="13" numFmtId="0" xfId="0" applyAlignment="1" applyBorder="1" applyFont="1">
      <alignment horizontal="center" vertical="center"/>
    </xf>
    <xf borderId="32" fillId="0" fontId="15" numFmtId="0" xfId="0" applyAlignment="1" applyBorder="1" applyFont="1">
      <alignment shrinkToFit="0" wrapText="1"/>
    </xf>
    <xf borderId="34" fillId="0" fontId="8" numFmtId="0" xfId="0" applyBorder="1" applyFont="1"/>
    <xf borderId="35" fillId="0" fontId="15" numFmtId="0" xfId="0" applyAlignment="1" applyBorder="1" applyFont="1">
      <alignment shrinkToFit="0" wrapText="1"/>
    </xf>
    <xf borderId="36" fillId="0" fontId="15" numFmtId="0" xfId="0" applyAlignment="1" applyBorder="1" applyFont="1">
      <alignment shrinkToFit="0" wrapText="1"/>
    </xf>
    <xf borderId="37" fillId="0" fontId="15" numFmtId="0" xfId="0" applyAlignment="1" applyBorder="1" applyFont="1">
      <alignment horizontal="right" shrinkToFit="0" wrapText="1"/>
    </xf>
    <xf borderId="38" fillId="0" fontId="8" numFmtId="0" xfId="0" applyBorder="1" applyFont="1"/>
    <xf borderId="39" fillId="0" fontId="15" numFmtId="0" xfId="0" applyAlignment="1" applyBorder="1" applyFont="1">
      <alignment shrinkToFit="0" wrapText="1"/>
    </xf>
    <xf borderId="40" fillId="0" fontId="15" numFmtId="0" xfId="0" applyAlignment="1" applyBorder="1" applyFont="1">
      <alignment shrinkToFit="0" wrapText="1"/>
    </xf>
    <xf borderId="41" fillId="0" fontId="15" numFmtId="0" xfId="0" applyAlignment="1" applyBorder="1" applyFont="1">
      <alignment horizontal="right" shrinkToFit="0" wrapText="1"/>
    </xf>
    <xf borderId="37" fillId="0" fontId="15" numFmtId="0" xfId="0" applyAlignment="1" applyBorder="1" applyFont="1">
      <alignment shrinkToFit="0" wrapText="1"/>
    </xf>
    <xf borderId="42" fillId="3" fontId="13" numFmtId="0" xfId="0" applyBorder="1" applyFont="1"/>
    <xf borderId="43" fillId="4" fontId="15" numFmtId="0" xfId="0" applyAlignment="1" applyBorder="1" applyFont="1">
      <alignment horizontal="center"/>
    </xf>
    <xf borderId="44" fillId="0" fontId="8" numFmtId="0" xfId="0" applyBorder="1" applyFont="1"/>
    <xf borderId="33" fillId="0" fontId="8" numFmtId="0" xfId="0" applyBorder="1" applyFont="1"/>
    <xf borderId="45" fillId="0" fontId="8" numFmtId="0" xfId="0" applyBorder="1" applyFont="1"/>
    <xf borderId="46" fillId="0" fontId="8" numFmtId="0" xfId="0" applyBorder="1" applyFont="1"/>
    <xf borderId="47" fillId="0" fontId="8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showGridLines="0" workbookViewId="0"/>
  </sheetViews>
  <sheetFormatPr customHeight="1" defaultColWidth="12.63" defaultRowHeight="15.0"/>
  <cols>
    <col customWidth="1" min="1" max="1" width="2.25"/>
    <col customWidth="1" min="2" max="2" width="42.88"/>
    <col customWidth="1" min="3" max="3" width="8.38"/>
    <col customWidth="1" min="4" max="4" width="49.0"/>
    <col customWidth="1" hidden="1" min="5" max="5" width="8.88"/>
    <col customWidth="1" hidden="1" min="6" max="6" width="8.63"/>
    <col customWidth="1" hidden="1" min="7" max="7" width="7.13"/>
    <col customWidth="1" min="8" max="8" width="9.25"/>
    <col customWidth="1" min="9" max="26" width="11.38"/>
  </cols>
  <sheetData>
    <row r="1" ht="13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0.25" customHeight="1">
      <c r="A2" s="1"/>
      <c r="B2" s="2" t="s">
        <v>0</v>
      </c>
      <c r="C2" s="2"/>
      <c r="D2" s="3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3.5" customHeight="1">
      <c r="A3" s="1"/>
      <c r="B3" s="1"/>
      <c r="C3" s="1"/>
      <c r="D3" s="1"/>
      <c r="E3" s="5"/>
      <c r="F3" s="5"/>
      <c r="G3" s="5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3.5" customHeight="1">
      <c r="A4" s="1"/>
      <c r="B4" s="6"/>
      <c r="C4" s="1"/>
      <c r="D4" s="1"/>
      <c r="E4" s="5">
        <v>1.0</v>
      </c>
      <c r="F4" s="5">
        <v>2.0</v>
      </c>
      <c r="G4" s="5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3.5" customHeight="1">
      <c r="A5" s="1"/>
      <c r="B5" s="7" t="s">
        <v>1</v>
      </c>
      <c r="C5" s="8" t="s">
        <v>2</v>
      </c>
      <c r="D5" s="9"/>
      <c r="E5" s="10" t="s">
        <v>3</v>
      </c>
      <c r="F5" s="11" t="s">
        <v>4</v>
      </c>
      <c r="G5" s="12" t="s">
        <v>5</v>
      </c>
      <c r="H5" s="13" t="s">
        <v>6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75" customHeight="1">
      <c r="A6" s="1"/>
      <c r="B6" s="14" t="s">
        <v>7</v>
      </c>
      <c r="C6" s="15" t="s">
        <v>8</v>
      </c>
      <c r="D6" s="16" t="str">
        <f>VLOOKUP($C6,ext!$I$3:$J$42,2,FALSE)</f>
        <v>Biologie et santé, Sciences de la vie et de la terre</v>
      </c>
      <c r="E6" s="17">
        <f>SUMIF(ext!$A:$A,'F10'!$C6&amp;"_"&amp;'F10'!E$4,ext!$D:$D)</f>
        <v>459</v>
      </c>
      <c r="F6" s="18">
        <f>SUMIF(ext!$A:$A,'F10'!$C6&amp;"_"&amp;'F10'!F$4,ext!$D:$D)</f>
        <v>1037</v>
      </c>
      <c r="G6" s="19">
        <f>IFERROR(__xludf.DUMMYFUNCTION("+E6+F6"),1496.0)</f>
        <v>1496</v>
      </c>
      <c r="H6" s="20">
        <f>IFERROR(__xludf.DUMMYFUNCTION("+F6/G6"),0.6931818181818182)</f>
        <v>0.6931818182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3.5" customHeight="1">
      <c r="A7" s="1"/>
      <c r="B7" s="21"/>
      <c r="C7" s="22" t="s">
        <v>9</v>
      </c>
      <c r="D7" s="23" t="str">
        <f>VLOOKUP($C7,ext!$I$3:$J$42,2,FALSE)</f>
        <v>Expérimentation et production animales</v>
      </c>
      <c r="E7" s="24">
        <f>SUMIF(ext!$A:$A,'F10'!$C7&amp;"_"&amp;'F10'!E$4,ext!$D:$D)</f>
        <v>106</v>
      </c>
      <c r="F7" s="25">
        <f>SUMIF(ext!$A:$A,'F10'!$C7&amp;"_"&amp;'F10'!F$4,ext!$D:$D)</f>
        <v>143</v>
      </c>
      <c r="G7" s="26">
        <f>IFERROR(__xludf.DUMMYFUNCTION("+E7+F7"),249.0)</f>
        <v>249</v>
      </c>
      <c r="H7" s="27">
        <f>IFERROR(__xludf.DUMMYFUNCTION("+F7/G7"),0.5742971887550201)</f>
        <v>0.5742971888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3.5" customHeight="1">
      <c r="A8" s="1"/>
      <c r="B8" s="21"/>
      <c r="C8" s="22" t="s">
        <v>10</v>
      </c>
      <c r="D8" s="23" t="str">
        <f>VLOOKUP($C8,ext!$I$3:$J$42,2,FALSE)</f>
        <v>Expérimentation et production végétales</v>
      </c>
      <c r="E8" s="24">
        <f>SUMIF(ext!$A:$A,'F10'!$C8&amp;"_"&amp;'F10'!E$4,ext!$D:$D)</f>
        <v>12</v>
      </c>
      <c r="F8" s="25">
        <f>SUMIF(ext!$A:$A,'F10'!$C8&amp;"_"&amp;'F10'!F$4,ext!$D:$D)</f>
        <v>17</v>
      </c>
      <c r="G8" s="26">
        <f>IFERROR(__xludf.DUMMYFUNCTION("+E8+F8"),29.0)</f>
        <v>29</v>
      </c>
      <c r="H8" s="27">
        <f>IFERROR(__xludf.DUMMYFUNCTION("+F8/G8"),0.5862068965517241)</f>
        <v>0.5862068966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3.5" customHeight="1">
      <c r="A9" s="1"/>
      <c r="B9" s="28"/>
      <c r="C9" s="29" t="s">
        <v>11</v>
      </c>
      <c r="D9" s="30" t="str">
        <f>VLOOKUP($C9,ext!$I$3:$J$42,2,FALSE)</f>
        <v>Environnements géo-naturels et anthropisés</v>
      </c>
      <c r="E9" s="31">
        <f>SUMIF(ext!$A:$A,'F10'!$C9&amp;"_"&amp;'F10'!E$4,ext!$D:$D)</f>
        <v>82</v>
      </c>
      <c r="F9" s="32">
        <f>SUMIF(ext!$A:$A,'F10'!$C9&amp;"_"&amp;'F10'!F$4,ext!$D:$D)</f>
        <v>45</v>
      </c>
      <c r="G9" s="33">
        <f>IFERROR(__xludf.DUMMYFUNCTION("+E9+F9"),127.0)</f>
        <v>127</v>
      </c>
      <c r="H9" s="34">
        <f>IFERROR(__xludf.DUMMYFUNCTION("+F9/G9"),0.3543307086614173)</f>
        <v>0.3543307087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75" customHeight="1">
      <c r="A10" s="1"/>
      <c r="B10" s="14" t="s">
        <v>12</v>
      </c>
      <c r="C10" s="15" t="s">
        <v>13</v>
      </c>
      <c r="D10" s="16" t="str">
        <f>VLOOKUP($C10,ext!$I$3:$J$42,2,FALSE)</f>
        <v>Analyse chimique</v>
      </c>
      <c r="E10" s="17">
        <f>SUMIF(ext!$A:$A,'F10'!$C10&amp;"_"&amp;'F10'!E$4,ext!$D:$D)</f>
        <v>185</v>
      </c>
      <c r="F10" s="18">
        <f>SUMIF(ext!$A:$A,'F10'!$C10&amp;"_"&amp;'F10'!F$4,ext!$D:$D)</f>
        <v>225</v>
      </c>
      <c r="G10" s="19">
        <f>IFERROR(__xludf.DUMMYFUNCTION("+E10+F10"),410.0)</f>
        <v>410</v>
      </c>
      <c r="H10" s="20">
        <f>IFERROR(__xludf.DUMMYFUNCTION("+F10/G10"),0.5487804878048781)</f>
        <v>0.5487804878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1"/>
      <c r="C11" s="22" t="s">
        <v>14</v>
      </c>
      <c r="D11" s="23" t="str">
        <f>VLOOKUP($C11,ext!$I$3:$J$42,2,FALSE)</f>
        <v>Analyse chimique|Synthèse chimique</v>
      </c>
      <c r="E11" s="24">
        <f>SUMIF(ext!$A:$A,'F10'!$C11&amp;"_"&amp;'F10'!E$4,ext!$D:$D)</f>
        <v>17</v>
      </c>
      <c r="F11" s="25">
        <f>SUMIF(ext!$A:$A,'F10'!$C11&amp;"_"&amp;'F10'!F$4,ext!$D:$D)</f>
        <v>23</v>
      </c>
      <c r="G11" s="26">
        <f>IFERROR(__xludf.DUMMYFUNCTION("+E11+F11"),40.0)</f>
        <v>40</v>
      </c>
      <c r="H11" s="27">
        <f>IFERROR(__xludf.DUMMYFUNCTION("+F11/G11"),0.575)</f>
        <v>0.575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1"/>
      <c r="C12" s="22" t="s">
        <v>15</v>
      </c>
      <c r="D12" s="23" t="str">
        <f>VLOOKUP($C12,ext!$I$3:$J$42,2,FALSE)</f>
        <v>Synthèse chimique</v>
      </c>
      <c r="E12" s="24">
        <f>SUMIF(ext!$A:$A,'F10'!$C12&amp;"_"&amp;'F10'!E$4,ext!$D:$D)</f>
        <v>90</v>
      </c>
      <c r="F12" s="25">
        <f>SUMIF(ext!$A:$A,'F10'!$C12&amp;"_"&amp;'F10'!F$4,ext!$D:$D)</f>
        <v>62</v>
      </c>
      <c r="G12" s="26">
        <f>IFERROR(__xludf.DUMMYFUNCTION("+E12+F12"),152.0)</f>
        <v>152</v>
      </c>
      <c r="H12" s="27">
        <f>IFERROR(__xludf.DUMMYFUNCTION("+F12/G12"),0.40789473684210525)</f>
        <v>0.4078947368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1"/>
      <c r="C13" s="22" t="s">
        <v>16</v>
      </c>
      <c r="D13" s="23" t="str">
        <f>VLOOKUP($C13,ext!$I$3:$J$42,2,FALSE)</f>
        <v>Science des matériaux / caractérisation</v>
      </c>
      <c r="E13" s="24">
        <f>SUMIF(ext!$A:$A,'F10'!$C13&amp;"_"&amp;'F10'!E$4,ext!$D:$D)</f>
        <v>262</v>
      </c>
      <c r="F13" s="25">
        <f>SUMIF(ext!$A:$A,'F10'!$C13&amp;"_"&amp;'F10'!F$4,ext!$D:$D)</f>
        <v>178</v>
      </c>
      <c r="G13" s="26">
        <f>IFERROR(__xludf.DUMMYFUNCTION("+E13+F13"),440.0)</f>
        <v>440</v>
      </c>
      <c r="H13" s="27">
        <f>IFERROR(__xludf.DUMMYFUNCTION("+F13/G13"),0.40454545454545454)</f>
        <v>0.4045454545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1"/>
      <c r="C14" s="22" t="s">
        <v>17</v>
      </c>
      <c r="D14" s="23" t="str">
        <f>VLOOKUP($C14,ext!$I$3:$J$42,2,FALSE)</f>
        <v>Science des matériaux / caractérisation|Science des matériaux / élaboration</v>
      </c>
      <c r="E14" s="24">
        <f>SUMIF(ext!$A:$A,'F10'!$C14&amp;"_"&amp;'F10'!E$4,ext!$D:$D)</f>
        <v>1</v>
      </c>
      <c r="F14" s="25">
        <f>SUMIF(ext!$A:$A,'F10'!$C14&amp;"_"&amp;'F10'!F$4,ext!$D:$D)</f>
        <v>0</v>
      </c>
      <c r="G14" s="26">
        <f>IFERROR(__xludf.DUMMYFUNCTION("+E14+F14"),1.0)</f>
        <v>1</v>
      </c>
      <c r="H14" s="27">
        <f>IFERROR(__xludf.DUMMYFUNCTION("+F14/G14"),0.0)</f>
        <v>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1"/>
      <c r="C15" s="22" t="s">
        <v>18</v>
      </c>
      <c r="D15" s="23" t="str">
        <f>VLOOKUP($C15,ext!$I$3:$J$42,2,FALSE)</f>
        <v>Science des matériaux / élaboration</v>
      </c>
      <c r="E15" s="24">
        <f>SUMIF(ext!$A:$A,'F10'!$C15&amp;"_"&amp;'F10'!E$4,ext!$D:$D)</f>
        <v>154</v>
      </c>
      <c r="F15" s="25">
        <f>SUMIF(ext!$A:$A,'F10'!$C15&amp;"_"&amp;'F10'!F$4,ext!$D:$D)</f>
        <v>65</v>
      </c>
      <c r="G15" s="26">
        <f>IFERROR(__xludf.DUMMYFUNCTION("+E15+F15"),219.0)</f>
        <v>219</v>
      </c>
      <c r="H15" s="27">
        <f>IFERROR(__xludf.DUMMYFUNCTION("+F15/G15"),0.2968036529680365)</f>
        <v>0.296803653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14" t="s">
        <v>19</v>
      </c>
      <c r="C16" s="15" t="s">
        <v>20</v>
      </c>
      <c r="D16" s="16" t="str">
        <f>VLOOKUP($C16,ext!$I$3:$J$42,2,FALSE)</f>
        <v>Assurance qualité / Assurance produit</v>
      </c>
      <c r="E16" s="17">
        <f>SUMIF(ext!$A:$A,'F10'!$C16&amp;"_"&amp;'F10'!E$4,ext!$D:$D)</f>
        <v>12</v>
      </c>
      <c r="F16" s="18">
        <f>SUMIF(ext!$A:$A,'F10'!$C16&amp;"_"&amp;'F10'!F$4,ext!$D:$D)</f>
        <v>15</v>
      </c>
      <c r="G16" s="19">
        <f>IFERROR(__xludf.DUMMYFUNCTION("+E16+F16"),27.0)</f>
        <v>27</v>
      </c>
      <c r="H16" s="20">
        <f>IFERROR(__xludf.DUMMYFUNCTION("+F16/G16"),0.5555555555555556)</f>
        <v>0.5555555556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75" customHeight="1">
      <c r="A17" s="1"/>
      <c r="B17" s="21"/>
      <c r="C17" s="22" t="s">
        <v>21</v>
      </c>
      <c r="D17" s="23" t="str">
        <f>VLOOKUP($C17,ext!$I$3:$J$42,2,FALSE)</f>
        <v>Instrumentation et expérimentation</v>
      </c>
      <c r="E17" s="24">
        <f>SUMIF(ext!$A:$A,'F10'!$C17&amp;"_"&amp;'F10'!E$4,ext!$D:$D)</f>
        <v>1103</v>
      </c>
      <c r="F17" s="25">
        <f>SUMIF(ext!$A:$A,'F10'!$C17&amp;"_"&amp;'F10'!F$4,ext!$D:$D)</f>
        <v>216</v>
      </c>
      <c r="G17" s="26">
        <f>IFERROR(__xludf.DUMMYFUNCTION("+E17+F17"),1319.0)</f>
        <v>1319</v>
      </c>
      <c r="H17" s="27">
        <f>IFERROR(__xludf.DUMMYFUNCTION("+F17/G17"),0.16376042456406367)</f>
        <v>0.1637604246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75" customHeight="1">
      <c r="A18" s="1"/>
      <c r="B18" s="21"/>
      <c r="C18" s="22" t="s">
        <v>22</v>
      </c>
      <c r="D18" s="23" t="str">
        <f>VLOOKUP($C18,ext!$I$3:$J$42,2,FALSE)</f>
        <v>Électronique, électrotechnique, contrôle-commande</v>
      </c>
      <c r="E18" s="24">
        <f>SUMIF(ext!$A:$A,'F10'!$C18&amp;"_"&amp;'F10'!E$4,ext!$D:$D)</f>
        <v>494</v>
      </c>
      <c r="F18" s="25">
        <f>SUMIF(ext!$A:$A,'F10'!$C18&amp;"_"&amp;'F10'!F$4,ext!$D:$D)</f>
        <v>33</v>
      </c>
      <c r="G18" s="26">
        <f>IFERROR(__xludf.DUMMYFUNCTION("+E18+F18"),527.0)</f>
        <v>527</v>
      </c>
      <c r="H18" s="27">
        <f>IFERROR(__xludf.DUMMYFUNCTION("+F18/G18"),0.06261859582542695)</f>
        <v>0.06261859583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75" customHeight="1">
      <c r="A19" s="1"/>
      <c r="B19" s="21"/>
      <c r="C19" s="22" t="s">
        <v>23</v>
      </c>
      <c r="D19" s="23" t="str">
        <f>VLOOKUP($C19,ext!$I$3:$J$42,2,FALSE)</f>
        <v>Étude et réalisation Domaines : mécanique, chaudronnerie, verrerie</v>
      </c>
      <c r="E19" s="24">
        <f>SUMIF(ext!$A:$A,'F10'!$C19&amp;"_"&amp;'F10'!E$4,ext!$D:$D)</f>
        <v>399</v>
      </c>
      <c r="F19" s="25">
        <f>SUMIF(ext!$A:$A,'F10'!$C19&amp;"_"&amp;'F10'!F$4,ext!$D:$D)</f>
        <v>26</v>
      </c>
      <c r="G19" s="26">
        <f>IFERROR(__xludf.DUMMYFUNCTION("+E19+F19"),425.0)</f>
        <v>425</v>
      </c>
      <c r="H19" s="27">
        <f>IFERROR(__xludf.DUMMYFUNCTION("+F19/G19"),0.0611764705882353)</f>
        <v>0.06117647059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75" customHeight="1">
      <c r="A20" s="1"/>
      <c r="B20" s="14" t="s">
        <v>24</v>
      </c>
      <c r="C20" s="15" t="s">
        <v>25</v>
      </c>
      <c r="D20" s="16" t="str">
        <f>VLOOKUP($C20,ext!$I$3:$J$42,2,FALSE)</f>
        <v>Production, traitement et analyse des données</v>
      </c>
      <c r="E20" s="17">
        <f>SUMIF(ext!$A:$A,'F10'!$C20&amp;"_"&amp;'F10'!E$4,ext!$D:$D)</f>
        <v>69</v>
      </c>
      <c r="F20" s="18">
        <f>SUMIF(ext!$A:$A,'F10'!$C20&amp;"_"&amp;'F10'!F$4,ext!$D:$D)</f>
        <v>94</v>
      </c>
      <c r="G20" s="19">
        <f>IFERROR(__xludf.DUMMYFUNCTION("+E20+F20"),163.0)</f>
        <v>163</v>
      </c>
      <c r="H20" s="20">
        <f>IFERROR(__xludf.DUMMYFUNCTION("+F20/G20"),0.5766871165644172)</f>
        <v>0.5766871166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75" customHeight="1">
      <c r="A21" s="1"/>
      <c r="B21" s="21"/>
      <c r="C21" s="22" t="s">
        <v>26</v>
      </c>
      <c r="D21" s="23" t="str">
        <f>VLOOKUP($C21,ext!$I$3:$J$42,2,FALSE)</f>
        <v>Sciences de l’information géographique</v>
      </c>
      <c r="E21" s="24">
        <f>SUMIF(ext!$A:$A,'F10'!$C21&amp;"_"&amp;'F10'!E$4,ext!$D:$D)</f>
        <v>44</v>
      </c>
      <c r="F21" s="25">
        <f>SUMIF(ext!$A:$A,'F10'!$C21&amp;"_"&amp;'F10'!F$4,ext!$D:$D)</f>
        <v>25</v>
      </c>
      <c r="G21" s="26">
        <f>IFERROR(__xludf.DUMMYFUNCTION("+E21+F21"),69.0)</f>
        <v>69</v>
      </c>
      <c r="H21" s="27">
        <f>IFERROR(__xludf.DUMMYFUNCTION("+F21/G21"),0.36231884057971014)</f>
        <v>0.3623188406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21"/>
      <c r="C22" s="22" t="s">
        <v>27</v>
      </c>
      <c r="D22" s="23" t="str">
        <f>VLOOKUP($C22,ext!$I$3:$J$42,2,FALSE)</f>
        <v>Analyse des sources historiques et culturelles</v>
      </c>
      <c r="E22" s="24">
        <f>SUMIF(ext!$A:$A,'F10'!$C22&amp;"_"&amp;'F10'!E$4,ext!$D:$D)</f>
        <v>38</v>
      </c>
      <c r="F22" s="25">
        <f>SUMIF(ext!$A:$A,'F10'!$C22&amp;"_"&amp;'F10'!F$4,ext!$D:$D)</f>
        <v>56</v>
      </c>
      <c r="G22" s="26">
        <f>IFERROR(__xludf.DUMMYFUNCTION("+E22+F22"),94.0)</f>
        <v>94</v>
      </c>
      <c r="H22" s="27">
        <f>IFERROR(__xludf.DUMMYFUNCTION("+F22/G22"),0.5957446808510638)</f>
        <v>0.5957446809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2.75" customHeight="1">
      <c r="A23" s="1"/>
      <c r="B23" s="21"/>
      <c r="C23" s="22" t="s">
        <v>28</v>
      </c>
      <c r="D23" s="23" t="str">
        <f>VLOOKUP($C23,ext!$I$3:$J$42,2,FALSE)</f>
        <v>Recueil et analyse des sources archéologiques</v>
      </c>
      <c r="E23" s="24">
        <f>SUMIF(ext!$A:$A,'F10'!$C23&amp;"_"&amp;'F10'!E$4,ext!$D:$D)</f>
        <v>53</v>
      </c>
      <c r="F23" s="25">
        <f>SUMIF(ext!$A:$A,'F10'!$C23&amp;"_"&amp;'F10'!F$4,ext!$D:$D)</f>
        <v>49</v>
      </c>
      <c r="G23" s="26">
        <f>IFERROR(__xludf.DUMMYFUNCTION("+E23+F23"),102.0)</f>
        <v>102</v>
      </c>
      <c r="H23" s="27">
        <f>IFERROR(__xludf.DUMMYFUNCTION("+F23/G23"),0.4803921568627451)</f>
        <v>0.4803921569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1"/>
      <c r="B24" s="14" t="s">
        <v>29</v>
      </c>
      <c r="C24" s="15" t="s">
        <v>30</v>
      </c>
      <c r="D24" s="16" t="str">
        <f>VLOOKUP($C24,ext!$I$3:$J$42,2,FALSE)</f>
        <v>Ingénierie des systèmes d'information</v>
      </c>
      <c r="E24" s="17">
        <f>SUMIF(ext!$A:$A,'F10'!$C24&amp;"_"&amp;'F10'!E$4,ext!$D:$D)</f>
        <v>207</v>
      </c>
      <c r="F24" s="18">
        <f>SUMIF(ext!$A:$A,'F10'!$C24&amp;"_"&amp;'F10'!F$4,ext!$D:$D)</f>
        <v>102</v>
      </c>
      <c r="G24" s="19">
        <f>IFERROR(__xludf.DUMMYFUNCTION("+E24+F24"),309.0)</f>
        <v>309</v>
      </c>
      <c r="H24" s="20">
        <f>IFERROR(__xludf.DUMMYFUNCTION("+F24/G24"),0.3300970873786408)</f>
        <v>0.3300970874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75" customHeight="1">
      <c r="A25" s="1"/>
      <c r="B25" s="21"/>
      <c r="C25" s="22" t="s">
        <v>31</v>
      </c>
      <c r="D25" s="23" t="str">
        <f>VLOOKUP($C25,ext!$I$3:$J$42,2,FALSE)</f>
        <v>Ingénierie des systèmes d'information|Ingénierie technique et de production</v>
      </c>
      <c r="E25" s="24">
        <f>SUMIF(ext!$A:$A,'F10'!$C25&amp;"_"&amp;'F10'!E$4,ext!$D:$D)</f>
        <v>67</v>
      </c>
      <c r="F25" s="25">
        <f>SUMIF(ext!$A:$A,'F10'!$C25&amp;"_"&amp;'F10'!F$4,ext!$D:$D)</f>
        <v>10</v>
      </c>
      <c r="G25" s="26">
        <f>IFERROR(__xludf.DUMMYFUNCTION("+E25+F25"),77.0)</f>
        <v>77</v>
      </c>
      <c r="H25" s="27">
        <f>IFERROR(__xludf.DUMMYFUNCTION("+F25/G25"),0.12987012987012986)</f>
        <v>0.1298701299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75" customHeight="1">
      <c r="A26" s="1"/>
      <c r="B26" s="21"/>
      <c r="C26" s="22" t="s">
        <v>32</v>
      </c>
      <c r="D26" s="23" t="str">
        <f>VLOOKUP($C26,ext!$I$3:$J$42,2,FALSE)</f>
        <v>Ingénierie technique et de production</v>
      </c>
      <c r="E26" s="24">
        <f>SUMIF(ext!$A:$A,'F10'!$C26&amp;"_"&amp;'F10'!E$4,ext!$D:$D)</f>
        <v>587</v>
      </c>
      <c r="F26" s="25">
        <f>SUMIF(ext!$A:$A,'F10'!$C26&amp;"_"&amp;'F10'!F$4,ext!$D:$D)</f>
        <v>75</v>
      </c>
      <c r="G26" s="26">
        <f>IFERROR(__xludf.DUMMYFUNCTION("+E26+F26"),662.0)</f>
        <v>662</v>
      </c>
      <c r="H26" s="27">
        <f>IFERROR(__xludf.DUMMYFUNCTION("+F26/G26"),0.11329305135951662)</f>
        <v>0.1132930514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75" customHeight="1">
      <c r="A27" s="1"/>
      <c r="B27" s="21"/>
      <c r="C27" s="22" t="s">
        <v>33</v>
      </c>
      <c r="D27" s="23" t="str">
        <f>VLOOKUP($C27,ext!$I$3:$J$42,2,FALSE)</f>
        <v>Ingénierie logicielle</v>
      </c>
      <c r="E27" s="24">
        <f>SUMIF(ext!$A:$A,'F10'!$C27&amp;"_"&amp;'F10'!E$4,ext!$D:$D)</f>
        <v>451</v>
      </c>
      <c r="F27" s="25">
        <f>SUMIF(ext!$A:$A,'F10'!$C27&amp;"_"&amp;'F10'!F$4,ext!$D:$D)</f>
        <v>115</v>
      </c>
      <c r="G27" s="26">
        <f>IFERROR(__xludf.DUMMYFUNCTION("+E27+F27"),566.0)</f>
        <v>566</v>
      </c>
      <c r="H27" s="27">
        <f>IFERROR(__xludf.DUMMYFUNCTION("+F27/G27"),0.20318021201413428)</f>
        <v>0.203180212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75" customHeight="1">
      <c r="A28" s="1"/>
      <c r="B28" s="21"/>
      <c r="C28" s="22" t="s">
        <v>34</v>
      </c>
      <c r="D28" s="23" t="str">
        <f>VLOOKUP($C28,ext!$I$3:$J$42,2,FALSE)</f>
        <v>Statistiques</v>
      </c>
      <c r="E28" s="24">
        <f>SUMIF(ext!$A:$A,'F10'!$C28&amp;"_"&amp;'F10'!E$4,ext!$D:$D)</f>
        <v>26</v>
      </c>
      <c r="F28" s="25">
        <f>SUMIF(ext!$A:$A,'F10'!$C28&amp;"_"&amp;'F10'!F$4,ext!$D:$D)</f>
        <v>23</v>
      </c>
      <c r="G28" s="26">
        <f>IFERROR(__xludf.DUMMYFUNCTION("+E28+F28"),49.0)</f>
        <v>49</v>
      </c>
      <c r="H28" s="27">
        <f>IFERROR(__xludf.DUMMYFUNCTION("+F28/G28"),0.46938775510204084)</f>
        <v>0.4693877551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2.75" customHeight="1">
      <c r="A29" s="1"/>
      <c r="B29" s="28"/>
      <c r="C29" s="29" t="s">
        <v>35</v>
      </c>
      <c r="D29" s="30" t="str">
        <f>VLOOKUP($C29,ext!$I$3:$J$42,2,FALSE)</f>
        <v>Calcul scientifique</v>
      </c>
      <c r="E29" s="31">
        <f>SUMIF(ext!$A:$A,'F10'!$C29&amp;"_"&amp;'F10'!E$4,ext!$D:$D)</f>
        <v>320</v>
      </c>
      <c r="F29" s="32">
        <f>SUMIF(ext!$A:$A,'F10'!$C29&amp;"_"&amp;'F10'!F$4,ext!$D:$D)</f>
        <v>75</v>
      </c>
      <c r="G29" s="33">
        <f>IFERROR(__xludf.DUMMYFUNCTION("+E29+F29"),395.0)</f>
        <v>395</v>
      </c>
      <c r="H29" s="34">
        <f>IFERROR(__xludf.DUMMYFUNCTION("+F29/G29"),0.189873417721519)</f>
        <v>0.1898734177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75" customHeight="1">
      <c r="A30" s="1"/>
      <c r="B30" s="14" t="s">
        <v>36</v>
      </c>
      <c r="C30" s="15" t="s">
        <v>37</v>
      </c>
      <c r="D30" s="16" t="str">
        <f>VLOOKUP($C30,ext!$I$3:$J$42,2,FALSE)</f>
        <v>Information scientifique et technique, documentation et collections patrimoniales</v>
      </c>
      <c r="E30" s="17">
        <f>SUMIF(ext!$A:$A,'F10'!$C30&amp;"_"&amp;'F10'!E$4,ext!$D:$D)</f>
        <v>74</v>
      </c>
      <c r="F30" s="18">
        <f>SUMIF(ext!$A:$A,'F10'!$C30&amp;"_"&amp;'F10'!F$4,ext!$D:$D)</f>
        <v>259</v>
      </c>
      <c r="G30" s="19">
        <f>IFERROR(__xludf.DUMMYFUNCTION("+E30+F30"),333.0)</f>
        <v>333</v>
      </c>
      <c r="H30" s="20">
        <f>IFERROR(__xludf.DUMMYFUNCTION("+F30/G30"),0.7777777777777778)</f>
        <v>0.7777777778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75" customHeight="1">
      <c r="A31" s="1"/>
      <c r="B31" s="21"/>
      <c r="C31" s="22" t="s">
        <v>38</v>
      </c>
      <c r="D31" s="23" t="str">
        <f>VLOOKUP($C31,ext!$I$3:$J$42,2,FALSE)</f>
        <v>Médiation scientifique, culture et communication</v>
      </c>
      <c r="E31" s="24">
        <f>SUMIF(ext!$A:$A,'F10'!$C31&amp;"_"&amp;'F10'!E$4,ext!$D:$D)</f>
        <v>38</v>
      </c>
      <c r="F31" s="25">
        <f>SUMIF(ext!$A:$A,'F10'!$C31&amp;"_"&amp;'F10'!F$4,ext!$D:$D)</f>
        <v>183</v>
      </c>
      <c r="G31" s="26">
        <f>IFERROR(__xludf.DUMMYFUNCTION("+E31+F31"),221.0)</f>
        <v>221</v>
      </c>
      <c r="H31" s="27">
        <f>IFERROR(__xludf.DUMMYFUNCTION("+F31/G31"),0.8280542986425339)</f>
        <v>0.8280542986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21"/>
      <c r="C32" s="22" t="s">
        <v>39</v>
      </c>
      <c r="D32" s="23" t="str">
        <f>VLOOKUP($C32,ext!$I$3:$J$42,2,FALSE)</f>
        <v>Édition et graphisme</v>
      </c>
      <c r="E32" s="24">
        <f>SUMIF(ext!$A:$A,'F10'!$C32&amp;"_"&amp;'F10'!E$4,ext!$D:$D)</f>
        <v>45</v>
      </c>
      <c r="F32" s="25">
        <f>SUMIF(ext!$A:$A,'F10'!$C32&amp;"_"&amp;'F10'!F$4,ext!$D:$D)</f>
        <v>110</v>
      </c>
      <c r="G32" s="26">
        <f>IFERROR(__xludf.DUMMYFUNCTION("+E32+F32"),155.0)</f>
        <v>155</v>
      </c>
      <c r="H32" s="27">
        <f>IFERROR(__xludf.DUMMYFUNCTION("+F32/G32"),0.7096774193548387)</f>
        <v>0.7096774194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2.75" customHeight="1">
      <c r="A33" s="1"/>
      <c r="B33" s="28"/>
      <c r="C33" s="29" t="s">
        <v>40</v>
      </c>
      <c r="D33" s="30" t="str">
        <f>VLOOKUP($C33,ext!$I$3:$J$42,2,FALSE)</f>
        <v>Productions audiovisuelles, productions pédagogiques et web</v>
      </c>
      <c r="E33" s="31">
        <f>SUMIF(ext!$A:$A,'F10'!$C33&amp;"_"&amp;'F10'!E$4,ext!$D:$D)</f>
        <v>41</v>
      </c>
      <c r="F33" s="32">
        <f>SUMIF(ext!$A:$A,'F10'!$C33&amp;"_"&amp;'F10'!F$4,ext!$D:$D)</f>
        <v>29</v>
      </c>
      <c r="G33" s="33">
        <f>IFERROR(__xludf.DUMMYFUNCTION("+E33+F33"),70.0)</f>
        <v>70</v>
      </c>
      <c r="H33" s="34">
        <f>IFERROR(__xludf.DUMMYFUNCTION("+F33/G33"),0.4142857142857143)</f>
        <v>0.4142857143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14" t="s">
        <v>41</v>
      </c>
      <c r="C34" s="15" t="s">
        <v>42</v>
      </c>
      <c r="D34" s="16" t="str">
        <f>VLOOKUP($C34,ext!$I$3:$J$42,2,FALSE)</f>
        <v>Patrimoine immobilier</v>
      </c>
      <c r="E34" s="17">
        <f>SUMIF(ext!$A:$A,'F10'!$C34&amp;"_"&amp;'F10'!E$4,ext!$D:$D)</f>
        <v>209</v>
      </c>
      <c r="F34" s="18">
        <f>SUMIF(ext!$A:$A,'F10'!$C34&amp;"_"&amp;'F10'!F$4,ext!$D:$D)</f>
        <v>17</v>
      </c>
      <c r="G34" s="19">
        <f>IFERROR(__xludf.DUMMYFUNCTION("+E34+F34"),226.0)</f>
        <v>226</v>
      </c>
      <c r="H34" s="20">
        <f>IFERROR(__xludf.DUMMYFUNCTION("+F34/G34"),0.0752212389380531)</f>
        <v>0.07522123894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2.75" customHeight="1">
      <c r="A35" s="1"/>
      <c r="B35" s="21"/>
      <c r="C35" s="22" t="s">
        <v>43</v>
      </c>
      <c r="D35" s="23" t="str">
        <f>VLOOKUP($C35,ext!$I$3:$J$42,2,FALSE)</f>
        <v>Patrimoine immobilier|Logistique</v>
      </c>
      <c r="E35" s="24">
        <f>SUMIF(ext!$A:$A,'F10'!$C35&amp;"_"&amp;'F10'!E$4,ext!$D:$D)</f>
        <v>22</v>
      </c>
      <c r="F35" s="25">
        <f>SUMIF(ext!$A:$A,'F10'!$C35&amp;"_"&amp;'F10'!F$4,ext!$D:$D)</f>
        <v>1</v>
      </c>
      <c r="G35" s="26">
        <f>IFERROR(__xludf.DUMMYFUNCTION("+E35+F35"),23.0)</f>
        <v>23</v>
      </c>
      <c r="H35" s="27">
        <f>IFERROR(__xludf.DUMMYFUNCTION("+F35/G35"),0.043478260869565216)</f>
        <v>0.04347826087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75" customHeight="1">
      <c r="A36" s="1"/>
      <c r="B36" s="21"/>
      <c r="C36" s="22" t="s">
        <v>44</v>
      </c>
      <c r="D36" s="23" t="str">
        <f>VLOOKUP($C36,ext!$I$3:$J$42,2,FALSE)</f>
        <v>Logistique</v>
      </c>
      <c r="E36" s="24">
        <f>SUMIF(ext!$A:$A,'F10'!$C36&amp;"_"&amp;'F10'!E$4,ext!$D:$D)</f>
        <v>109</v>
      </c>
      <c r="F36" s="25">
        <f>SUMIF(ext!$A:$A,'F10'!$C36&amp;"_"&amp;'F10'!F$4,ext!$D:$D)</f>
        <v>44</v>
      </c>
      <c r="G36" s="26">
        <f>IFERROR(__xludf.DUMMYFUNCTION("+E36+F36"),153.0)</f>
        <v>153</v>
      </c>
      <c r="H36" s="27">
        <f>IFERROR(__xludf.DUMMYFUNCTION("+F36/G36"),0.2875816993464052)</f>
        <v>0.2875816993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75" customHeight="1">
      <c r="A37" s="1"/>
      <c r="B37" s="21"/>
      <c r="C37" s="22" t="s">
        <v>45</v>
      </c>
      <c r="D37" s="23" t="str">
        <f>VLOOKUP($C37,ext!$I$3:$J$42,2,FALSE)</f>
        <v>Prévention</v>
      </c>
      <c r="E37" s="24">
        <f>SUMIF(ext!$A:$A,'F10'!$C37&amp;"_"&amp;'F10'!E$4,ext!$D:$D)</f>
        <v>53</v>
      </c>
      <c r="F37" s="25">
        <f>SUMIF(ext!$A:$A,'F10'!$C37&amp;"_"&amp;'F10'!F$4,ext!$D:$D)</f>
        <v>58</v>
      </c>
      <c r="G37" s="26">
        <f>IFERROR(__xludf.DUMMYFUNCTION("+E37+F37"),111.0)</f>
        <v>111</v>
      </c>
      <c r="H37" s="27">
        <f>IFERROR(__xludf.DUMMYFUNCTION("+F37/G37"),0.5225225225225225)</f>
        <v>0.5225225225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75" customHeight="1">
      <c r="A38" s="1"/>
      <c r="B38" s="14" t="s">
        <v>46</v>
      </c>
      <c r="C38" s="15" t="s">
        <v>47</v>
      </c>
      <c r="D38" s="16" t="str">
        <f>VLOOKUP($C38,ext!$I$3:$J$42,2,FALSE)</f>
        <v>Formation continue, orientation et insertion professionnelle</v>
      </c>
      <c r="E38" s="17">
        <f>SUMIF(ext!$A:$A,'F10'!$C38&amp;"_"&amp;'F10'!E$4,ext!$D:$D)</f>
        <v>4</v>
      </c>
      <c r="F38" s="18">
        <f>SUMIF(ext!$A:$A,'F10'!$C38&amp;"_"&amp;'F10'!F$4,ext!$D:$D)</f>
        <v>51</v>
      </c>
      <c r="G38" s="19">
        <f>IFERROR(__xludf.DUMMYFUNCTION("+E38+F38"),55.0)</f>
        <v>55</v>
      </c>
      <c r="H38" s="20">
        <f>IFERROR(__xludf.DUMMYFUNCTION("+F38/G38"),0.9272727272727272)</f>
        <v>0.9272727273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75" customHeight="1">
      <c r="A39" s="1"/>
      <c r="B39" s="21"/>
      <c r="C39" s="22" t="s">
        <v>48</v>
      </c>
      <c r="D39" s="23" t="str">
        <f>VLOOKUP($C39,ext!$I$3:$J$42,2,FALSE)</f>
        <v>Partenariat, valorisation de la recherche, coopération internationale</v>
      </c>
      <c r="E39" s="24">
        <f>SUMIF(ext!$A:$A,'F10'!$C39&amp;"_"&amp;'F10'!E$4,ext!$D:$D)</f>
        <v>59</v>
      </c>
      <c r="F39" s="25">
        <f>SUMIF(ext!$A:$A,'F10'!$C39&amp;"_"&amp;'F10'!F$4,ext!$D:$D)</f>
        <v>202</v>
      </c>
      <c r="G39" s="26">
        <f>IFERROR(__xludf.DUMMYFUNCTION("+E39+F39"),261.0)</f>
        <v>261</v>
      </c>
      <c r="H39" s="27">
        <f>IFERROR(__xludf.DUMMYFUNCTION("+F39/G39"),0.7739463601532567)</f>
        <v>0.7739463602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75" customHeight="1">
      <c r="A40" s="1"/>
      <c r="B40" s="21"/>
      <c r="C40" s="22" t="s">
        <v>49</v>
      </c>
      <c r="D40" s="23" t="str">
        <f>VLOOKUP($C40,ext!$I$3:$J$42,2,FALSE)</f>
        <v>Administration et pilotage</v>
      </c>
      <c r="E40" s="24">
        <f>SUMIF(ext!$A:$A,'F10'!$C40&amp;"_"&amp;'F10'!E$4,ext!$D:$D)</f>
        <v>270</v>
      </c>
      <c r="F40" s="25">
        <f>SUMIF(ext!$A:$A,'F10'!$C40&amp;"_"&amp;'F10'!F$4,ext!$D:$D)</f>
        <v>1549</v>
      </c>
      <c r="G40" s="26">
        <f>IFERROR(__xludf.DUMMYFUNCTION("+E40+F40"),1819.0)</f>
        <v>1819</v>
      </c>
      <c r="H40" s="27">
        <f>IFERROR(__xludf.DUMMYFUNCTION("+F40/G40"),0.8515667949422759)</f>
        <v>0.8515667949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75" customHeight="1">
      <c r="A41" s="1"/>
      <c r="B41" s="21"/>
      <c r="C41" s="22" t="s">
        <v>50</v>
      </c>
      <c r="D41" s="23" t="str">
        <f>VLOOKUP($C41,ext!$I$3:$J$42,2,FALSE)</f>
        <v>Administration et pilotage|Ressources humaines|Gestion financière et comptable</v>
      </c>
      <c r="E41" s="24">
        <f>SUMIF(ext!$A:$A,'F10'!$C41&amp;"_"&amp;'F10'!E$4,ext!$D:$D)</f>
        <v>3</v>
      </c>
      <c r="F41" s="25">
        <f>SUMIF(ext!$A:$A,'F10'!$C41&amp;"_"&amp;'F10'!F$4,ext!$D:$D)</f>
        <v>27</v>
      </c>
      <c r="G41" s="26">
        <f>IFERROR(__xludf.DUMMYFUNCTION("+E41+F41"),30.0)</f>
        <v>30</v>
      </c>
      <c r="H41" s="27">
        <f>IFERROR(__xludf.DUMMYFUNCTION("+F41/G41"),0.9)</f>
        <v>0.9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75" customHeight="1">
      <c r="A42" s="1"/>
      <c r="B42" s="21"/>
      <c r="C42" s="22" t="s">
        <v>51</v>
      </c>
      <c r="D42" s="23" t="str">
        <f>VLOOKUP($C42,ext!$I$3:$J$42,2,FALSE)</f>
        <v>Ressources humaines</v>
      </c>
      <c r="E42" s="24">
        <f>SUMIF(ext!$A:$A,'F10'!$C42&amp;"_"&amp;'F10'!E$4,ext!$D:$D)</f>
        <v>48</v>
      </c>
      <c r="F42" s="25">
        <f>SUMIF(ext!$A:$A,'F10'!$C42&amp;"_"&amp;'F10'!F$4,ext!$D:$D)</f>
        <v>327</v>
      </c>
      <c r="G42" s="26">
        <f>IFERROR(__xludf.DUMMYFUNCTION("+E42+F42"),375.0)</f>
        <v>375</v>
      </c>
      <c r="H42" s="27">
        <f>IFERROR(__xludf.DUMMYFUNCTION("+F42/G42"),0.872)</f>
        <v>0.872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75" customHeight="1">
      <c r="A43" s="1"/>
      <c r="B43" s="21"/>
      <c r="C43" s="22" t="s">
        <v>52</v>
      </c>
      <c r="D43" s="23" t="str">
        <f>VLOOKUP($C43,ext!$I$3:$J$42,2,FALSE)</f>
        <v>Gestion financière et comptable</v>
      </c>
      <c r="E43" s="24">
        <f>SUMIF(ext!$A:$A,'F10'!$C43&amp;"_"&amp;'F10'!E$4,ext!$D:$D)</f>
        <v>189</v>
      </c>
      <c r="F43" s="25">
        <f>SUMIF(ext!$A:$A,'F10'!$C43&amp;"_"&amp;'F10'!F$4,ext!$D:$D)</f>
        <v>833</v>
      </c>
      <c r="G43" s="26">
        <f>IFERROR(__xludf.DUMMYFUNCTION("+E43+F43"),1022.0)</f>
        <v>1022</v>
      </c>
      <c r="H43" s="27">
        <f>IFERROR(__xludf.DUMMYFUNCTION("+F43/G43"),0.815068493150685)</f>
        <v>0.8150684932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75" customHeight="1">
      <c r="A44" s="1"/>
      <c r="B44" s="28"/>
      <c r="C44" s="22" t="s">
        <v>53</v>
      </c>
      <c r="D44" s="23" t="str">
        <f>VLOOKUP($C44,ext!$I$3:$J$42,2,FALSE)</f>
        <v>Affaires juridiques</v>
      </c>
      <c r="E44" s="24">
        <f>SUMIF(ext!$A:$A,'F10'!$C44&amp;"_"&amp;'F10'!E$4,ext!$D:$D)</f>
        <v>7</v>
      </c>
      <c r="F44" s="25">
        <f>SUMIF(ext!$A:$A,'F10'!$C44&amp;"_"&amp;'F10'!F$4,ext!$D:$D)</f>
        <v>23</v>
      </c>
      <c r="G44" s="26">
        <f>IFERROR(__xludf.DUMMYFUNCTION("+E44+F44"),30.0)</f>
        <v>30</v>
      </c>
      <c r="H44" s="27">
        <f>IFERROR(__xludf.DUMMYFUNCTION("+F44/G44"),0.7666666666666667)</f>
        <v>0.7666666667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22.5" customHeight="1">
      <c r="A45" s="35"/>
      <c r="B45" s="36" t="s">
        <v>5</v>
      </c>
      <c r="C45" s="37"/>
      <c r="D45" s="9"/>
      <c r="E45" s="38">
        <f t="shared" ref="E45:G45" si="1">SUM(E6:E44)</f>
        <v>6409</v>
      </c>
      <c r="F45" s="39">
        <f t="shared" si="1"/>
        <v>6422</v>
      </c>
      <c r="G45" s="40">
        <f t="shared" si="1"/>
        <v>12831</v>
      </c>
      <c r="H45" s="41">
        <f>IFERROR(__xludf.DUMMYFUNCTION("+F45/$G$45"),0.5005065856129686)</f>
        <v>0.5005065856</v>
      </c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75" customHeight="1">
      <c r="A47" s="1"/>
      <c r="B47" s="42"/>
      <c r="C47" s="1"/>
      <c r="D47" s="1"/>
      <c r="E47" s="1"/>
      <c r="F47" s="1"/>
      <c r="G47" s="1"/>
      <c r="H47" s="43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0">
    <mergeCell ref="B34:B37"/>
    <mergeCell ref="B38:B44"/>
    <mergeCell ref="B45:D45"/>
    <mergeCell ref="C5:D5"/>
    <mergeCell ref="B6:B9"/>
    <mergeCell ref="B10:B15"/>
    <mergeCell ref="B16:B19"/>
    <mergeCell ref="B20:B23"/>
    <mergeCell ref="B24:B29"/>
    <mergeCell ref="B30:B33"/>
  </mergeCells>
  <printOptions/>
  <pageMargins bottom="0.0" footer="0.0" header="0.0" left="0.1968503937007874" right="0.1968503937007874" top="0.7874015748031497"/>
  <pageSetup paperSize="9" orientation="portrait"/>
  <headerFooter>
    <oddFooter>&amp;L&amp;A&amp;C- DRH / OMES -&amp;R&amp;D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9" width="10.63"/>
    <col customWidth="1" min="10" max="10" width="78.25"/>
    <col customWidth="1" min="11" max="12" width="10.63"/>
    <col customWidth="1" min="13" max="13" width="18.13"/>
    <col customWidth="1" min="14" max="14" width="12.88"/>
    <col customWidth="1" min="15" max="18" width="10.63"/>
    <col customWidth="1" min="19" max="19" width="23.25"/>
    <col customWidth="1" min="20" max="20" width="59.88"/>
    <col customWidth="1" min="21" max="26" width="10.63"/>
  </cols>
  <sheetData>
    <row r="1" ht="12.75" customHeight="1">
      <c r="A1" s="44" t="s">
        <v>54</v>
      </c>
      <c r="B1" s="44"/>
      <c r="I1" s="44" t="s">
        <v>55</v>
      </c>
      <c r="M1" s="45" t="s">
        <v>56</v>
      </c>
      <c r="N1" s="45"/>
      <c r="S1" s="1" t="s">
        <v>57</v>
      </c>
    </row>
    <row r="2" ht="12.75" customHeight="1">
      <c r="O2" s="46" t="s">
        <v>58</v>
      </c>
    </row>
    <row r="3" ht="13.5" customHeight="1">
      <c r="A3" s="45" t="s">
        <v>59</v>
      </c>
      <c r="B3" s="47" t="s">
        <v>60</v>
      </c>
      <c r="C3" s="47" t="s">
        <v>61</v>
      </c>
      <c r="D3" s="47" t="s">
        <v>62</v>
      </c>
      <c r="F3" s="48">
        <f>SUM(D:D)</f>
        <v>12831</v>
      </c>
      <c r="I3" s="49" t="s">
        <v>63</v>
      </c>
      <c r="J3" s="49" t="s">
        <v>64</v>
      </c>
      <c r="M3" s="47" t="s">
        <v>65</v>
      </c>
      <c r="N3" s="47" t="s">
        <v>60</v>
      </c>
      <c r="O3" s="47" t="s">
        <v>62</v>
      </c>
      <c r="P3" s="50" t="s">
        <v>66</v>
      </c>
      <c r="S3" s="49" t="s">
        <v>65</v>
      </c>
      <c r="T3" s="49" t="s">
        <v>67</v>
      </c>
    </row>
    <row r="4" ht="13.5" customHeight="1">
      <c r="A4" s="46" t="str">
        <f>IFERROR(__xludf.DUMMYFUNCTION("+B4&amp;""_""&amp;C4"),"AA_1")</f>
        <v>AA_1</v>
      </c>
      <c r="B4" s="51" t="s">
        <v>8</v>
      </c>
      <c r="C4" s="52">
        <v>1.0</v>
      </c>
      <c r="D4" s="52">
        <v>459.0</v>
      </c>
      <c r="I4" s="51" t="s">
        <v>8</v>
      </c>
      <c r="J4" s="51" t="s">
        <v>68</v>
      </c>
      <c r="K4" s="52"/>
      <c r="M4" s="53" t="s">
        <v>69</v>
      </c>
      <c r="N4" s="51" t="s">
        <v>8</v>
      </c>
      <c r="O4" s="54">
        <v>1.0</v>
      </c>
      <c r="P4" s="55">
        <f>SUM(O4:O7)</f>
        <v>4</v>
      </c>
      <c r="S4" s="53" t="s">
        <v>69</v>
      </c>
      <c r="T4" s="56" t="s">
        <v>70</v>
      </c>
    </row>
    <row r="5" ht="13.5" customHeight="1">
      <c r="A5" s="46" t="str">
        <f>IFERROR(__xludf.DUMMYFUNCTION("+B5&amp;""_""&amp;C5"),"AA_2")</f>
        <v>AA_2</v>
      </c>
      <c r="B5" s="51" t="s">
        <v>8</v>
      </c>
      <c r="C5" s="52">
        <v>2.0</v>
      </c>
      <c r="D5" s="52">
        <v>1037.0</v>
      </c>
      <c r="I5" s="51" t="s">
        <v>9</v>
      </c>
      <c r="J5" s="51" t="s">
        <v>71</v>
      </c>
      <c r="K5" s="52"/>
      <c r="M5" s="53" t="s">
        <v>69</v>
      </c>
      <c r="N5" s="51" t="s">
        <v>9</v>
      </c>
      <c r="O5" s="54">
        <v>1.0</v>
      </c>
      <c r="P5" s="57"/>
      <c r="S5" s="53" t="s">
        <v>72</v>
      </c>
      <c r="T5" s="56" t="s">
        <v>73</v>
      </c>
    </row>
    <row r="6" ht="13.5" customHeight="1">
      <c r="A6" s="46" t="str">
        <f>IFERROR(__xludf.DUMMYFUNCTION("+B6&amp;""_""&amp;C6"),"AB_1")</f>
        <v>AB_1</v>
      </c>
      <c r="B6" s="51" t="s">
        <v>9</v>
      </c>
      <c r="C6" s="52">
        <v>1.0</v>
      </c>
      <c r="D6" s="52">
        <v>106.0</v>
      </c>
      <c r="I6" s="51" t="s">
        <v>10</v>
      </c>
      <c r="J6" s="51" t="s">
        <v>74</v>
      </c>
      <c r="K6" s="52"/>
      <c r="M6" s="53" t="s">
        <v>69</v>
      </c>
      <c r="N6" s="51" t="s">
        <v>10</v>
      </c>
      <c r="O6" s="54">
        <v>1.0</v>
      </c>
      <c r="P6" s="57"/>
      <c r="S6" s="53" t="s">
        <v>75</v>
      </c>
      <c r="T6" s="56" t="s">
        <v>76</v>
      </c>
    </row>
    <row r="7" ht="13.5" customHeight="1">
      <c r="A7" s="46" t="str">
        <f>IFERROR(__xludf.DUMMYFUNCTION("+B7&amp;""_""&amp;C7"),"AB_2")</f>
        <v>AB_2</v>
      </c>
      <c r="B7" s="51" t="s">
        <v>9</v>
      </c>
      <c r="C7" s="52">
        <v>2.0</v>
      </c>
      <c r="D7" s="52">
        <v>143.0</v>
      </c>
      <c r="I7" s="51" t="s">
        <v>11</v>
      </c>
      <c r="J7" s="51" t="s">
        <v>77</v>
      </c>
      <c r="K7" s="52"/>
      <c r="M7" s="58" t="s">
        <v>69</v>
      </c>
      <c r="N7" s="59" t="s">
        <v>11</v>
      </c>
      <c r="O7" s="60">
        <v>1.0</v>
      </c>
      <c r="P7" s="61"/>
      <c r="S7" s="53" t="s">
        <v>78</v>
      </c>
      <c r="T7" s="56" t="s">
        <v>79</v>
      </c>
    </row>
    <row r="8" ht="13.5" customHeight="1">
      <c r="A8" s="46" t="str">
        <f>IFERROR(__xludf.DUMMYFUNCTION("+B8&amp;""_""&amp;C8"),"AC_1")</f>
        <v>AC_1</v>
      </c>
      <c r="B8" s="51" t="s">
        <v>10</v>
      </c>
      <c r="C8" s="52">
        <v>1.0</v>
      </c>
      <c r="D8" s="52">
        <v>12.0</v>
      </c>
      <c r="I8" s="51" t="s">
        <v>13</v>
      </c>
      <c r="J8" s="51" t="s">
        <v>80</v>
      </c>
      <c r="K8" s="52"/>
      <c r="M8" s="62" t="s">
        <v>72</v>
      </c>
      <c r="N8" s="63" t="s">
        <v>13</v>
      </c>
      <c r="O8" s="64">
        <v>1.0</v>
      </c>
      <c r="P8" s="55">
        <f>SUM(O8:O13)</f>
        <v>6</v>
      </c>
      <c r="S8" s="53" t="s">
        <v>81</v>
      </c>
      <c r="T8" s="56" t="s">
        <v>82</v>
      </c>
    </row>
    <row r="9" ht="13.5" customHeight="1">
      <c r="A9" s="46" t="str">
        <f>IFERROR(__xludf.DUMMYFUNCTION("+B9&amp;""_""&amp;C9"),"AC_2")</f>
        <v>AC_2</v>
      </c>
      <c r="B9" s="51" t="s">
        <v>10</v>
      </c>
      <c r="C9" s="52">
        <v>2.0</v>
      </c>
      <c r="D9" s="52">
        <v>17.0</v>
      </c>
      <c r="I9" s="51" t="s">
        <v>14</v>
      </c>
      <c r="J9" s="51" t="s">
        <v>83</v>
      </c>
      <c r="K9" s="52"/>
      <c r="M9" s="53" t="s">
        <v>72</v>
      </c>
      <c r="N9" s="51" t="s">
        <v>14</v>
      </c>
      <c r="O9" s="54">
        <v>1.0</v>
      </c>
      <c r="P9" s="57"/>
      <c r="S9" s="53" t="s">
        <v>84</v>
      </c>
      <c r="T9" s="56" t="s">
        <v>85</v>
      </c>
    </row>
    <row r="10" ht="13.5" customHeight="1">
      <c r="A10" s="46" t="str">
        <f>IFERROR(__xludf.DUMMYFUNCTION("+B10&amp;""_""&amp;C10"),"AD_1")</f>
        <v>AD_1</v>
      </c>
      <c r="B10" s="51" t="s">
        <v>11</v>
      </c>
      <c r="C10" s="52">
        <v>1.0</v>
      </c>
      <c r="D10" s="52">
        <v>82.0</v>
      </c>
      <c r="I10" s="51" t="s">
        <v>15</v>
      </c>
      <c r="J10" s="51" t="s">
        <v>86</v>
      </c>
      <c r="K10" s="52"/>
      <c r="M10" s="53" t="s">
        <v>72</v>
      </c>
      <c r="N10" s="51" t="s">
        <v>15</v>
      </c>
      <c r="O10" s="54">
        <v>1.0</v>
      </c>
      <c r="P10" s="57"/>
      <c r="S10" s="53" t="s">
        <v>87</v>
      </c>
      <c r="T10" s="56" t="s">
        <v>88</v>
      </c>
    </row>
    <row r="11" ht="13.5" customHeight="1">
      <c r="A11" s="46" t="str">
        <f>IFERROR(__xludf.DUMMYFUNCTION("+B11&amp;""_""&amp;C11"),"AD_2")</f>
        <v>AD_2</v>
      </c>
      <c r="B11" s="51" t="s">
        <v>11</v>
      </c>
      <c r="C11" s="52">
        <v>2.0</v>
      </c>
      <c r="D11" s="52">
        <v>45.0</v>
      </c>
      <c r="I11" s="51" t="s">
        <v>16</v>
      </c>
      <c r="J11" s="51" t="s">
        <v>89</v>
      </c>
      <c r="K11" s="52"/>
      <c r="M11" s="53" t="s">
        <v>72</v>
      </c>
      <c r="N11" s="51" t="s">
        <v>16</v>
      </c>
      <c r="O11" s="54">
        <v>1.0</v>
      </c>
      <c r="P11" s="57"/>
      <c r="S11" s="58" t="s">
        <v>90</v>
      </c>
      <c r="T11" s="65" t="s">
        <v>91</v>
      </c>
    </row>
    <row r="12" ht="13.5" customHeight="1">
      <c r="A12" s="46" t="str">
        <f>IFERROR(__xludf.DUMMYFUNCTION("+B12&amp;""_""&amp;C12"),"BA_1")</f>
        <v>BA_1</v>
      </c>
      <c r="B12" s="51" t="s">
        <v>13</v>
      </c>
      <c r="C12" s="52">
        <v>1.0</v>
      </c>
      <c r="D12" s="52">
        <v>185.0</v>
      </c>
      <c r="I12" s="51" t="s">
        <v>17</v>
      </c>
      <c r="J12" s="51" t="s">
        <v>92</v>
      </c>
      <c r="K12" s="52"/>
      <c r="M12" s="53" t="s">
        <v>72</v>
      </c>
      <c r="N12" s="51" t="s">
        <v>17</v>
      </c>
      <c r="O12" s="54">
        <v>1.0</v>
      </c>
      <c r="P12" s="57"/>
    </row>
    <row r="13" ht="13.5" customHeight="1">
      <c r="A13" s="46" t="str">
        <f>IFERROR(__xludf.DUMMYFUNCTION("+B13&amp;""_""&amp;C13"),"BA_2")</f>
        <v>BA_2</v>
      </c>
      <c r="B13" s="51" t="s">
        <v>13</v>
      </c>
      <c r="C13" s="52">
        <v>2.0</v>
      </c>
      <c r="D13" s="52">
        <v>225.0</v>
      </c>
      <c r="I13" s="51" t="s">
        <v>18</v>
      </c>
      <c r="J13" s="51" t="s">
        <v>93</v>
      </c>
      <c r="K13" s="52"/>
      <c r="M13" s="58" t="s">
        <v>72</v>
      </c>
      <c r="N13" s="59" t="s">
        <v>18</v>
      </c>
      <c r="O13" s="60">
        <v>1.0</v>
      </c>
      <c r="P13" s="61"/>
    </row>
    <row r="14" ht="13.5" customHeight="1">
      <c r="A14" s="46" t="str">
        <f>IFERROR(__xludf.DUMMYFUNCTION("+B14&amp;""_""&amp;C14"),"BA|BB_1")</f>
        <v>BA|BB_1</v>
      </c>
      <c r="B14" s="51" t="s">
        <v>14</v>
      </c>
      <c r="C14" s="52">
        <v>1.0</v>
      </c>
      <c r="D14" s="52">
        <v>17.0</v>
      </c>
      <c r="I14" s="51" t="s">
        <v>20</v>
      </c>
      <c r="J14" s="51" t="s">
        <v>94</v>
      </c>
      <c r="K14" s="52"/>
      <c r="M14" s="62" t="s">
        <v>75</v>
      </c>
      <c r="N14" s="63" t="s">
        <v>20</v>
      </c>
      <c r="O14" s="64">
        <v>1.0</v>
      </c>
      <c r="P14" s="55">
        <f>SUM(O14:O17)</f>
        <v>4</v>
      </c>
    </row>
    <row r="15" ht="13.5" customHeight="1">
      <c r="A15" s="46" t="str">
        <f>IFERROR(__xludf.DUMMYFUNCTION("+B15&amp;""_""&amp;C15"),"BA|BB_2")</f>
        <v>BA|BB_2</v>
      </c>
      <c r="B15" s="51" t="s">
        <v>14</v>
      </c>
      <c r="C15" s="52">
        <v>2.0</v>
      </c>
      <c r="D15" s="52">
        <v>23.0</v>
      </c>
      <c r="I15" s="51" t="s">
        <v>21</v>
      </c>
      <c r="J15" s="51" t="s">
        <v>95</v>
      </c>
      <c r="K15" s="52"/>
      <c r="M15" s="53" t="s">
        <v>75</v>
      </c>
      <c r="N15" s="51" t="s">
        <v>21</v>
      </c>
      <c r="O15" s="54">
        <v>1.0</v>
      </c>
      <c r="P15" s="57"/>
    </row>
    <row r="16" ht="13.5" customHeight="1">
      <c r="A16" s="46" t="str">
        <f>IFERROR(__xludf.DUMMYFUNCTION("+B16&amp;""_""&amp;C16"),"BB_1")</f>
        <v>BB_1</v>
      </c>
      <c r="B16" s="51" t="s">
        <v>15</v>
      </c>
      <c r="C16" s="52">
        <v>1.0</v>
      </c>
      <c r="D16" s="52">
        <v>90.0</v>
      </c>
      <c r="I16" s="51" t="s">
        <v>22</v>
      </c>
      <c r="J16" s="51" t="s">
        <v>96</v>
      </c>
      <c r="K16" s="52"/>
      <c r="M16" s="53" t="s">
        <v>75</v>
      </c>
      <c r="N16" s="51" t="s">
        <v>22</v>
      </c>
      <c r="O16" s="54">
        <v>1.0</v>
      </c>
      <c r="P16" s="57"/>
    </row>
    <row r="17" ht="13.5" customHeight="1">
      <c r="A17" s="46" t="str">
        <f>IFERROR(__xludf.DUMMYFUNCTION("+B17&amp;""_""&amp;C17"),"BB_2")</f>
        <v>BB_2</v>
      </c>
      <c r="B17" s="51" t="s">
        <v>15</v>
      </c>
      <c r="C17" s="52">
        <v>2.0</v>
      </c>
      <c r="D17" s="52">
        <v>62.0</v>
      </c>
      <c r="I17" s="51" t="s">
        <v>23</v>
      </c>
      <c r="J17" s="51" t="s">
        <v>97</v>
      </c>
      <c r="K17" s="52"/>
      <c r="M17" s="58" t="s">
        <v>75</v>
      </c>
      <c r="N17" s="59" t="s">
        <v>23</v>
      </c>
      <c r="O17" s="60">
        <v>1.0</v>
      </c>
      <c r="P17" s="61"/>
    </row>
    <row r="18" ht="13.5" customHeight="1">
      <c r="A18" s="46" t="str">
        <f>IFERROR(__xludf.DUMMYFUNCTION("+B18&amp;""_""&amp;C18"),"BC_1")</f>
        <v>BC_1</v>
      </c>
      <c r="B18" s="51" t="s">
        <v>16</v>
      </c>
      <c r="C18" s="52">
        <v>1.0</v>
      </c>
      <c r="D18" s="52">
        <v>262.0</v>
      </c>
      <c r="I18" s="51" t="s">
        <v>25</v>
      </c>
      <c r="J18" s="51" t="s">
        <v>98</v>
      </c>
      <c r="K18" s="52"/>
      <c r="M18" s="62" t="s">
        <v>78</v>
      </c>
      <c r="N18" s="63" t="s">
        <v>25</v>
      </c>
      <c r="O18" s="64">
        <v>1.0</v>
      </c>
      <c r="P18" s="55">
        <f>SUM(O18:O21)</f>
        <v>4</v>
      </c>
    </row>
    <row r="19" ht="13.5" customHeight="1">
      <c r="A19" s="46" t="str">
        <f>IFERROR(__xludf.DUMMYFUNCTION("+B19&amp;""_""&amp;C19"),"BC_2")</f>
        <v>BC_2</v>
      </c>
      <c r="B19" s="51" t="s">
        <v>16</v>
      </c>
      <c r="C19" s="52">
        <v>2.0</v>
      </c>
      <c r="D19" s="52">
        <v>178.0</v>
      </c>
      <c r="I19" s="51" t="s">
        <v>26</v>
      </c>
      <c r="J19" s="51" t="s">
        <v>99</v>
      </c>
      <c r="K19" s="52"/>
      <c r="M19" s="53" t="s">
        <v>78</v>
      </c>
      <c r="N19" s="51" t="s">
        <v>26</v>
      </c>
      <c r="O19" s="54">
        <v>1.0</v>
      </c>
      <c r="P19" s="57"/>
    </row>
    <row r="20" ht="13.5" customHeight="1">
      <c r="A20" s="46" t="str">
        <f>IFERROR(__xludf.DUMMYFUNCTION("+B20&amp;""_""&amp;C20"),"BC|BD_1")</f>
        <v>BC|BD_1</v>
      </c>
      <c r="B20" s="51" t="s">
        <v>17</v>
      </c>
      <c r="C20" s="52">
        <v>1.0</v>
      </c>
      <c r="D20" s="52">
        <v>1.0</v>
      </c>
      <c r="I20" s="51" t="s">
        <v>27</v>
      </c>
      <c r="J20" s="51" t="s">
        <v>100</v>
      </c>
      <c r="K20" s="52"/>
      <c r="M20" s="53" t="s">
        <v>78</v>
      </c>
      <c r="N20" s="51" t="s">
        <v>27</v>
      </c>
      <c r="O20" s="54">
        <v>1.0</v>
      </c>
      <c r="P20" s="57"/>
    </row>
    <row r="21" ht="13.5" customHeight="1">
      <c r="A21" s="46" t="str">
        <f>IFERROR(__xludf.DUMMYFUNCTION("+B21&amp;""_""&amp;C21"),"BD_1")</f>
        <v>BD_1</v>
      </c>
      <c r="B21" s="51" t="s">
        <v>18</v>
      </c>
      <c r="C21" s="52">
        <v>1.0</v>
      </c>
      <c r="D21" s="52">
        <v>154.0</v>
      </c>
      <c r="I21" s="51" t="s">
        <v>28</v>
      </c>
      <c r="J21" s="51" t="s">
        <v>101</v>
      </c>
      <c r="K21" s="52"/>
      <c r="M21" s="58" t="s">
        <v>78</v>
      </c>
      <c r="N21" s="59" t="s">
        <v>28</v>
      </c>
      <c r="O21" s="60">
        <v>1.0</v>
      </c>
      <c r="P21" s="61"/>
    </row>
    <row r="22" ht="13.5" customHeight="1">
      <c r="A22" s="46" t="str">
        <f>IFERROR(__xludf.DUMMYFUNCTION("+B22&amp;""_""&amp;C22"),"BD_2")</f>
        <v>BD_2</v>
      </c>
      <c r="B22" s="51" t="s">
        <v>18</v>
      </c>
      <c r="C22" s="52">
        <v>2.0</v>
      </c>
      <c r="D22" s="52">
        <v>65.0</v>
      </c>
      <c r="I22" s="51" t="s">
        <v>30</v>
      </c>
      <c r="J22" s="51" t="s">
        <v>102</v>
      </c>
      <c r="K22" s="52"/>
      <c r="M22" s="62" t="s">
        <v>81</v>
      </c>
      <c r="N22" s="63" t="s">
        <v>30</v>
      </c>
      <c r="O22" s="64">
        <v>1.0</v>
      </c>
      <c r="P22" s="55">
        <f>SUM(O22:O27)</f>
        <v>6</v>
      </c>
    </row>
    <row r="23" ht="13.5" customHeight="1">
      <c r="A23" s="46" t="str">
        <f>IFERROR(__xludf.DUMMYFUNCTION("+B23&amp;""_""&amp;C23"),"CA_1")</f>
        <v>CA_1</v>
      </c>
      <c r="B23" s="51" t="s">
        <v>20</v>
      </c>
      <c r="C23" s="52">
        <v>1.0</v>
      </c>
      <c r="D23" s="52">
        <v>12.0</v>
      </c>
      <c r="I23" s="51" t="s">
        <v>31</v>
      </c>
      <c r="J23" s="51" t="s">
        <v>103</v>
      </c>
      <c r="K23" s="52"/>
      <c r="M23" s="53" t="s">
        <v>81</v>
      </c>
      <c r="N23" s="51" t="s">
        <v>31</v>
      </c>
      <c r="O23" s="54">
        <v>1.0</v>
      </c>
      <c r="P23" s="57"/>
    </row>
    <row r="24" ht="13.5" customHeight="1">
      <c r="A24" s="46" t="str">
        <f>IFERROR(__xludf.DUMMYFUNCTION("+B24&amp;""_""&amp;C24"),"CA_2")</f>
        <v>CA_2</v>
      </c>
      <c r="B24" s="51" t="s">
        <v>20</v>
      </c>
      <c r="C24" s="52">
        <v>2.0</v>
      </c>
      <c r="D24" s="52">
        <v>15.0</v>
      </c>
      <c r="I24" s="51" t="s">
        <v>32</v>
      </c>
      <c r="J24" s="51" t="s">
        <v>104</v>
      </c>
      <c r="K24" s="52"/>
      <c r="M24" s="53" t="s">
        <v>81</v>
      </c>
      <c r="N24" s="51" t="s">
        <v>32</v>
      </c>
      <c r="O24" s="54">
        <v>1.0</v>
      </c>
      <c r="P24" s="57"/>
    </row>
    <row r="25" ht="13.5" customHeight="1">
      <c r="A25" s="46" t="str">
        <f>IFERROR(__xludf.DUMMYFUNCTION("+B25&amp;""_""&amp;C25"),"CB_1")</f>
        <v>CB_1</v>
      </c>
      <c r="B25" s="51" t="s">
        <v>21</v>
      </c>
      <c r="C25" s="52">
        <v>1.0</v>
      </c>
      <c r="D25" s="52">
        <v>1103.0</v>
      </c>
      <c r="I25" s="51" t="s">
        <v>33</v>
      </c>
      <c r="J25" s="51" t="s">
        <v>105</v>
      </c>
      <c r="K25" s="52"/>
      <c r="M25" s="53" t="s">
        <v>81</v>
      </c>
      <c r="N25" s="51" t="s">
        <v>33</v>
      </c>
      <c r="O25" s="54">
        <v>1.0</v>
      </c>
      <c r="P25" s="57"/>
    </row>
    <row r="26" ht="13.5" customHeight="1">
      <c r="A26" s="46" t="str">
        <f>IFERROR(__xludf.DUMMYFUNCTION("+B26&amp;""_""&amp;C26"),"CB_2")</f>
        <v>CB_2</v>
      </c>
      <c r="B26" s="51" t="s">
        <v>21</v>
      </c>
      <c r="C26" s="52">
        <v>2.0</v>
      </c>
      <c r="D26" s="52">
        <v>216.0</v>
      </c>
      <c r="I26" s="51" t="s">
        <v>34</v>
      </c>
      <c r="J26" s="51" t="s">
        <v>106</v>
      </c>
      <c r="K26" s="52"/>
      <c r="M26" s="53" t="s">
        <v>81</v>
      </c>
      <c r="N26" s="51" t="s">
        <v>34</v>
      </c>
      <c r="O26" s="54">
        <v>1.0</v>
      </c>
      <c r="P26" s="57"/>
    </row>
    <row r="27" ht="13.5" customHeight="1">
      <c r="A27" s="46" t="str">
        <f>IFERROR(__xludf.DUMMYFUNCTION("+B27&amp;""_""&amp;C27"),"CC_1")</f>
        <v>CC_1</v>
      </c>
      <c r="B27" s="51" t="s">
        <v>22</v>
      </c>
      <c r="C27" s="52">
        <v>1.0</v>
      </c>
      <c r="D27" s="52">
        <v>494.0</v>
      </c>
      <c r="I27" s="51" t="s">
        <v>35</v>
      </c>
      <c r="J27" s="51" t="s">
        <v>107</v>
      </c>
      <c r="K27" s="52"/>
      <c r="M27" s="58" t="s">
        <v>81</v>
      </c>
      <c r="N27" s="59" t="s">
        <v>35</v>
      </c>
      <c r="O27" s="60">
        <v>1.0</v>
      </c>
      <c r="P27" s="61"/>
    </row>
    <row r="28" ht="13.5" customHeight="1">
      <c r="A28" s="46" t="str">
        <f>IFERROR(__xludf.DUMMYFUNCTION("+B28&amp;""_""&amp;C28"),"CC_2")</f>
        <v>CC_2</v>
      </c>
      <c r="B28" s="51" t="s">
        <v>22</v>
      </c>
      <c r="C28" s="52">
        <v>2.0</v>
      </c>
      <c r="D28" s="52">
        <v>33.0</v>
      </c>
      <c r="I28" s="51" t="s">
        <v>37</v>
      </c>
      <c r="J28" s="51" t="s">
        <v>108</v>
      </c>
      <c r="K28" s="52"/>
      <c r="M28" s="62" t="s">
        <v>84</v>
      </c>
      <c r="N28" s="63" t="s">
        <v>37</v>
      </c>
      <c r="O28" s="64">
        <v>1.0</v>
      </c>
      <c r="P28" s="55">
        <f>SUM(O28:O31)</f>
        <v>4</v>
      </c>
    </row>
    <row r="29" ht="13.5" customHeight="1">
      <c r="A29" s="46" t="str">
        <f>IFERROR(__xludf.DUMMYFUNCTION("+B29&amp;""_""&amp;C29"),"CD_1")</f>
        <v>CD_1</v>
      </c>
      <c r="B29" s="51" t="s">
        <v>23</v>
      </c>
      <c r="C29" s="52">
        <v>1.0</v>
      </c>
      <c r="D29" s="52">
        <v>399.0</v>
      </c>
      <c r="I29" s="51" t="s">
        <v>38</v>
      </c>
      <c r="J29" s="51" t="s">
        <v>109</v>
      </c>
      <c r="K29" s="52"/>
      <c r="M29" s="53" t="s">
        <v>84</v>
      </c>
      <c r="N29" s="51" t="s">
        <v>38</v>
      </c>
      <c r="O29" s="54">
        <v>1.0</v>
      </c>
      <c r="P29" s="57"/>
    </row>
    <row r="30" ht="13.5" customHeight="1">
      <c r="A30" s="46" t="str">
        <f>IFERROR(__xludf.DUMMYFUNCTION("+B30&amp;""_""&amp;C30"),"CD_2")</f>
        <v>CD_2</v>
      </c>
      <c r="B30" s="51" t="s">
        <v>23</v>
      </c>
      <c r="C30" s="52">
        <v>2.0</v>
      </c>
      <c r="D30" s="52">
        <v>26.0</v>
      </c>
      <c r="I30" s="51" t="s">
        <v>39</v>
      </c>
      <c r="J30" s="51" t="s">
        <v>110</v>
      </c>
      <c r="K30" s="52"/>
      <c r="M30" s="53" t="s">
        <v>84</v>
      </c>
      <c r="N30" s="51" t="s">
        <v>39</v>
      </c>
      <c r="O30" s="54">
        <v>1.0</v>
      </c>
      <c r="P30" s="57"/>
    </row>
    <row r="31" ht="13.5" customHeight="1">
      <c r="A31" s="46" t="str">
        <f>IFERROR(__xludf.DUMMYFUNCTION("+B31&amp;""_""&amp;C31"),"DA_1")</f>
        <v>DA_1</v>
      </c>
      <c r="B31" s="51" t="s">
        <v>25</v>
      </c>
      <c r="C31" s="52">
        <v>1.0</v>
      </c>
      <c r="D31" s="52">
        <v>69.0</v>
      </c>
      <c r="I31" s="51" t="s">
        <v>40</v>
      </c>
      <c r="J31" s="51" t="s">
        <v>111</v>
      </c>
      <c r="K31" s="52"/>
      <c r="M31" s="58" t="s">
        <v>84</v>
      </c>
      <c r="N31" s="59" t="s">
        <v>40</v>
      </c>
      <c r="O31" s="60">
        <v>1.0</v>
      </c>
      <c r="P31" s="61"/>
    </row>
    <row r="32" ht="13.5" customHeight="1">
      <c r="A32" s="46" t="str">
        <f>IFERROR(__xludf.DUMMYFUNCTION("+B32&amp;""_""&amp;C32"),"DA_2")</f>
        <v>DA_2</v>
      </c>
      <c r="B32" s="51" t="s">
        <v>25</v>
      </c>
      <c r="C32" s="52">
        <v>2.0</v>
      </c>
      <c r="D32" s="52">
        <v>94.0</v>
      </c>
      <c r="I32" s="51" t="s">
        <v>42</v>
      </c>
      <c r="J32" s="51" t="s">
        <v>112</v>
      </c>
      <c r="K32" s="52"/>
      <c r="M32" s="62" t="s">
        <v>87</v>
      </c>
      <c r="N32" s="63" t="s">
        <v>42</v>
      </c>
      <c r="O32" s="64">
        <v>1.0</v>
      </c>
      <c r="P32" s="55">
        <f>SUM(O32:O35)</f>
        <v>4</v>
      </c>
    </row>
    <row r="33" ht="13.5" customHeight="1">
      <c r="A33" s="46" t="str">
        <f>IFERROR(__xludf.DUMMYFUNCTION("+B33&amp;""_""&amp;C33"),"DB_1")</f>
        <v>DB_1</v>
      </c>
      <c r="B33" s="51" t="s">
        <v>26</v>
      </c>
      <c r="C33" s="52">
        <v>1.0</v>
      </c>
      <c r="D33" s="52">
        <v>44.0</v>
      </c>
      <c r="I33" s="51" t="s">
        <v>43</v>
      </c>
      <c r="J33" s="51" t="s">
        <v>113</v>
      </c>
      <c r="K33" s="52"/>
      <c r="M33" s="53" t="s">
        <v>87</v>
      </c>
      <c r="N33" s="51" t="s">
        <v>43</v>
      </c>
      <c r="O33" s="54">
        <v>1.0</v>
      </c>
      <c r="P33" s="57"/>
    </row>
    <row r="34" ht="13.5" customHeight="1">
      <c r="A34" s="46" t="str">
        <f>IFERROR(__xludf.DUMMYFUNCTION("+B34&amp;""_""&amp;C34"),"DB_2")</f>
        <v>DB_2</v>
      </c>
      <c r="B34" s="51" t="s">
        <v>26</v>
      </c>
      <c r="C34" s="52">
        <v>2.0</v>
      </c>
      <c r="D34" s="52">
        <v>25.0</v>
      </c>
      <c r="I34" s="51" t="s">
        <v>44</v>
      </c>
      <c r="J34" s="51" t="s">
        <v>114</v>
      </c>
      <c r="K34" s="52"/>
      <c r="M34" s="53" t="s">
        <v>87</v>
      </c>
      <c r="N34" s="51" t="s">
        <v>44</v>
      </c>
      <c r="O34" s="54">
        <v>1.0</v>
      </c>
      <c r="P34" s="57"/>
    </row>
    <row r="35" ht="13.5" customHeight="1">
      <c r="A35" s="46" t="str">
        <f>IFERROR(__xludf.DUMMYFUNCTION("+B35&amp;""_""&amp;C35"),"DC_1")</f>
        <v>DC_1</v>
      </c>
      <c r="B35" s="51" t="s">
        <v>27</v>
      </c>
      <c r="C35" s="52">
        <v>1.0</v>
      </c>
      <c r="D35" s="52">
        <v>38.0</v>
      </c>
      <c r="I35" s="51" t="s">
        <v>45</v>
      </c>
      <c r="J35" s="51" t="s">
        <v>115</v>
      </c>
      <c r="K35" s="52"/>
      <c r="M35" s="58" t="s">
        <v>87</v>
      </c>
      <c r="N35" s="59" t="s">
        <v>45</v>
      </c>
      <c r="O35" s="60">
        <v>1.0</v>
      </c>
      <c r="P35" s="61"/>
    </row>
    <row r="36" ht="13.5" customHeight="1">
      <c r="A36" s="46" t="str">
        <f>IFERROR(__xludf.DUMMYFUNCTION("+B36&amp;""_""&amp;C36"),"DC_2")</f>
        <v>DC_2</v>
      </c>
      <c r="B36" s="51" t="s">
        <v>27</v>
      </c>
      <c r="C36" s="52">
        <v>2.0</v>
      </c>
      <c r="D36" s="52">
        <v>56.0</v>
      </c>
      <c r="I36" s="51" t="s">
        <v>47</v>
      </c>
      <c r="J36" s="51" t="s">
        <v>116</v>
      </c>
      <c r="K36" s="52"/>
      <c r="M36" s="62" t="s">
        <v>90</v>
      </c>
      <c r="N36" s="63" t="s">
        <v>47</v>
      </c>
      <c r="O36" s="64">
        <v>1.0</v>
      </c>
      <c r="P36" s="55">
        <f>SUM(O36:O42)</f>
        <v>7</v>
      </c>
    </row>
    <row r="37" ht="13.5" customHeight="1">
      <c r="A37" s="46" t="str">
        <f>IFERROR(__xludf.DUMMYFUNCTION("+B37&amp;""_""&amp;C37"),"DD_1")</f>
        <v>DD_1</v>
      </c>
      <c r="B37" s="51" t="s">
        <v>28</v>
      </c>
      <c r="C37" s="52">
        <v>1.0</v>
      </c>
      <c r="D37" s="52">
        <v>53.0</v>
      </c>
      <c r="I37" s="51" t="s">
        <v>48</v>
      </c>
      <c r="J37" s="51" t="s">
        <v>117</v>
      </c>
      <c r="K37" s="52"/>
      <c r="M37" s="53" t="s">
        <v>90</v>
      </c>
      <c r="N37" s="51" t="s">
        <v>48</v>
      </c>
      <c r="O37" s="54">
        <v>1.0</v>
      </c>
      <c r="P37" s="57"/>
    </row>
    <row r="38" ht="13.5" customHeight="1">
      <c r="A38" s="46" t="str">
        <f>IFERROR(__xludf.DUMMYFUNCTION("+B38&amp;""_""&amp;C38"),"DD_2")</f>
        <v>DD_2</v>
      </c>
      <c r="B38" s="51" t="s">
        <v>28</v>
      </c>
      <c r="C38" s="52">
        <v>2.0</v>
      </c>
      <c r="D38" s="52">
        <v>49.0</v>
      </c>
      <c r="I38" s="51" t="s">
        <v>49</v>
      </c>
      <c r="J38" s="51" t="s">
        <v>118</v>
      </c>
      <c r="K38" s="52"/>
      <c r="M38" s="53" t="s">
        <v>90</v>
      </c>
      <c r="N38" s="51" t="s">
        <v>49</v>
      </c>
      <c r="O38" s="54">
        <v>1.0</v>
      </c>
      <c r="P38" s="57"/>
    </row>
    <row r="39" ht="13.5" customHeight="1">
      <c r="A39" s="46" t="str">
        <f>IFERROR(__xludf.DUMMYFUNCTION("+B39&amp;""_""&amp;C39"),"EA_1")</f>
        <v>EA_1</v>
      </c>
      <c r="B39" s="51" t="s">
        <v>30</v>
      </c>
      <c r="C39" s="52">
        <v>1.0</v>
      </c>
      <c r="D39" s="52">
        <v>207.0</v>
      </c>
      <c r="I39" s="51" t="s">
        <v>50</v>
      </c>
      <c r="J39" s="51" t="s">
        <v>119</v>
      </c>
      <c r="K39" s="52"/>
      <c r="M39" s="53" t="s">
        <v>90</v>
      </c>
      <c r="N39" s="51" t="s">
        <v>50</v>
      </c>
      <c r="O39" s="54">
        <v>1.0</v>
      </c>
      <c r="P39" s="57"/>
    </row>
    <row r="40" ht="13.5" customHeight="1">
      <c r="A40" s="46" t="str">
        <f>IFERROR(__xludf.DUMMYFUNCTION("+B40&amp;""_""&amp;C40"),"EA_2")</f>
        <v>EA_2</v>
      </c>
      <c r="B40" s="51" t="s">
        <v>30</v>
      </c>
      <c r="C40" s="52">
        <v>2.0</v>
      </c>
      <c r="D40" s="52">
        <v>102.0</v>
      </c>
      <c r="I40" s="51" t="s">
        <v>51</v>
      </c>
      <c r="J40" s="51" t="s">
        <v>120</v>
      </c>
      <c r="K40" s="52"/>
      <c r="M40" s="53" t="s">
        <v>90</v>
      </c>
      <c r="N40" s="51" t="s">
        <v>51</v>
      </c>
      <c r="O40" s="54">
        <v>1.0</v>
      </c>
      <c r="P40" s="57"/>
    </row>
    <row r="41" ht="13.5" customHeight="1">
      <c r="A41" s="46" t="str">
        <f>IFERROR(__xludf.DUMMYFUNCTION("+B41&amp;""_""&amp;C41"),"EA|EB_1")</f>
        <v>EA|EB_1</v>
      </c>
      <c r="B41" s="51" t="s">
        <v>31</v>
      </c>
      <c r="C41" s="52">
        <v>1.0</v>
      </c>
      <c r="D41" s="52">
        <v>67.0</v>
      </c>
      <c r="I41" s="51" t="s">
        <v>52</v>
      </c>
      <c r="J41" s="51" t="s">
        <v>121</v>
      </c>
      <c r="K41" s="52"/>
      <c r="M41" s="53" t="s">
        <v>90</v>
      </c>
      <c r="N41" s="51" t="s">
        <v>52</v>
      </c>
      <c r="O41" s="54">
        <v>1.0</v>
      </c>
      <c r="P41" s="57"/>
    </row>
    <row r="42" ht="13.5" customHeight="1">
      <c r="A42" s="46" t="str">
        <f>IFERROR(__xludf.DUMMYFUNCTION("+B42&amp;""_""&amp;C42"),"EA|EB_2")</f>
        <v>EA|EB_2</v>
      </c>
      <c r="B42" s="51" t="s">
        <v>31</v>
      </c>
      <c r="C42" s="52">
        <v>2.0</v>
      </c>
      <c r="D42" s="52">
        <v>10.0</v>
      </c>
      <c r="I42" s="51" t="s">
        <v>53</v>
      </c>
      <c r="J42" s="51" t="s">
        <v>122</v>
      </c>
      <c r="K42" s="52"/>
      <c r="M42" s="58" t="s">
        <v>90</v>
      </c>
      <c r="N42" s="59" t="s">
        <v>53</v>
      </c>
      <c r="O42" s="60">
        <v>1.0</v>
      </c>
      <c r="P42" s="61"/>
    </row>
    <row r="43" ht="12.75" customHeight="1">
      <c r="A43" s="46" t="str">
        <f>IFERROR(__xludf.DUMMYFUNCTION("+B43&amp;""_""&amp;C43"),"EB_1")</f>
        <v>EB_1</v>
      </c>
      <c r="B43" s="51" t="s">
        <v>32</v>
      </c>
      <c r="C43" s="52">
        <v>1.0</v>
      </c>
      <c r="D43" s="52">
        <v>587.0</v>
      </c>
      <c r="O43" s="66">
        <f>SUM(O4:O42)</f>
        <v>39</v>
      </c>
    </row>
    <row r="44" ht="12.75" customHeight="1">
      <c r="A44" s="46" t="str">
        <f>IFERROR(__xludf.DUMMYFUNCTION("+B44&amp;""_""&amp;C44"),"EB_2")</f>
        <v>EB_2</v>
      </c>
      <c r="B44" s="51" t="s">
        <v>32</v>
      </c>
      <c r="C44" s="52">
        <v>2.0</v>
      </c>
      <c r="D44" s="52">
        <v>75.0</v>
      </c>
    </row>
    <row r="45" ht="12.75" customHeight="1">
      <c r="A45" s="46" t="str">
        <f>IFERROR(__xludf.DUMMYFUNCTION("+B45&amp;""_""&amp;C45"),"EC_1")</f>
        <v>EC_1</v>
      </c>
      <c r="B45" s="51" t="s">
        <v>33</v>
      </c>
      <c r="C45" s="52">
        <v>1.0</v>
      </c>
      <c r="D45" s="52">
        <v>451.0</v>
      </c>
    </row>
    <row r="46" ht="12.75" customHeight="1">
      <c r="A46" s="46" t="str">
        <f>IFERROR(__xludf.DUMMYFUNCTION("+B46&amp;""_""&amp;C46"),"EC_2")</f>
        <v>EC_2</v>
      </c>
      <c r="B46" s="51" t="s">
        <v>33</v>
      </c>
      <c r="C46" s="52">
        <v>2.0</v>
      </c>
      <c r="D46" s="52">
        <v>115.0</v>
      </c>
    </row>
    <row r="47" ht="12.75" customHeight="1">
      <c r="A47" s="46" t="str">
        <f>IFERROR(__xludf.DUMMYFUNCTION("+B47&amp;""_""&amp;C47"),"ED_1")</f>
        <v>ED_1</v>
      </c>
      <c r="B47" s="51" t="s">
        <v>34</v>
      </c>
      <c r="C47" s="52">
        <v>1.0</v>
      </c>
      <c r="D47" s="52">
        <v>26.0</v>
      </c>
      <c r="M47" s="67" t="s">
        <v>65</v>
      </c>
      <c r="N47" s="68"/>
      <c r="O47" s="68"/>
      <c r="P47" s="69"/>
    </row>
    <row r="48" ht="12.75" customHeight="1">
      <c r="A48" s="46" t="str">
        <f>IFERROR(__xludf.DUMMYFUNCTION("+B48&amp;""_""&amp;C48"),"ED_2")</f>
        <v>ED_2</v>
      </c>
      <c r="B48" s="51" t="s">
        <v>34</v>
      </c>
      <c r="C48" s="52">
        <v>2.0</v>
      </c>
      <c r="D48" s="52">
        <v>23.0</v>
      </c>
      <c r="M48" s="70"/>
      <c r="P48" s="57"/>
    </row>
    <row r="49" ht="12.75" customHeight="1">
      <c r="A49" s="46" t="str">
        <f>IFERROR(__xludf.DUMMYFUNCTION("+B49&amp;""_""&amp;C49"),"EE_1")</f>
        <v>EE_1</v>
      </c>
      <c r="B49" s="51" t="s">
        <v>35</v>
      </c>
      <c r="C49" s="52">
        <v>1.0</v>
      </c>
      <c r="D49" s="52">
        <v>320.0</v>
      </c>
      <c r="M49" s="70"/>
      <c r="P49" s="57"/>
    </row>
    <row r="50" ht="12.75" customHeight="1">
      <c r="A50" s="46" t="str">
        <f>IFERROR(__xludf.DUMMYFUNCTION("+B50&amp;""_""&amp;C50"),"EE_2")</f>
        <v>EE_2</v>
      </c>
      <c r="B50" s="51" t="s">
        <v>35</v>
      </c>
      <c r="C50" s="52">
        <v>2.0</v>
      </c>
      <c r="D50" s="52">
        <v>75.0</v>
      </c>
      <c r="M50" s="70"/>
      <c r="P50" s="57"/>
    </row>
    <row r="51" ht="12.75" customHeight="1">
      <c r="A51" s="46" t="str">
        <f>IFERROR(__xludf.DUMMYFUNCTION("+B51&amp;""_""&amp;C51"),"FA_1")</f>
        <v>FA_1</v>
      </c>
      <c r="B51" s="51" t="s">
        <v>37</v>
      </c>
      <c r="C51" s="52">
        <v>1.0</v>
      </c>
      <c r="D51" s="52">
        <v>74.0</v>
      </c>
      <c r="M51" s="70"/>
      <c r="P51" s="57"/>
    </row>
    <row r="52" ht="12.75" customHeight="1">
      <c r="A52" s="46" t="str">
        <f>IFERROR(__xludf.DUMMYFUNCTION("+B52&amp;""_""&amp;C52"),"FA_2")</f>
        <v>FA_2</v>
      </c>
      <c r="B52" s="51" t="s">
        <v>37</v>
      </c>
      <c r="C52" s="52">
        <v>2.0</v>
      </c>
      <c r="D52" s="52">
        <v>259.0</v>
      </c>
      <c r="M52" s="70"/>
      <c r="P52" s="57"/>
    </row>
    <row r="53" ht="12.75" customHeight="1">
      <c r="A53" s="46" t="str">
        <f>IFERROR(__xludf.DUMMYFUNCTION("+B53&amp;""_""&amp;C53"),"FB_1")</f>
        <v>FB_1</v>
      </c>
      <c r="B53" s="51" t="s">
        <v>38</v>
      </c>
      <c r="C53" s="52">
        <v>1.0</v>
      </c>
      <c r="D53" s="52">
        <v>38.0</v>
      </c>
      <c r="M53" s="70"/>
      <c r="P53" s="57"/>
    </row>
    <row r="54" ht="12.75" customHeight="1">
      <c r="A54" s="46" t="str">
        <f>IFERROR(__xludf.DUMMYFUNCTION("+B54&amp;""_""&amp;C54"),"FB_2")</f>
        <v>FB_2</v>
      </c>
      <c r="B54" s="51" t="s">
        <v>38</v>
      </c>
      <c r="C54" s="52">
        <v>2.0</v>
      </c>
      <c r="D54" s="52">
        <v>183.0</v>
      </c>
      <c r="M54" s="70"/>
      <c r="P54" s="57"/>
    </row>
    <row r="55" ht="12.75" customHeight="1">
      <c r="A55" s="46" t="str">
        <f>IFERROR(__xludf.DUMMYFUNCTION("+B55&amp;""_""&amp;C55"),"FC_1")</f>
        <v>FC_1</v>
      </c>
      <c r="B55" s="51" t="s">
        <v>39</v>
      </c>
      <c r="C55" s="52">
        <v>1.0</v>
      </c>
      <c r="D55" s="52">
        <v>45.0</v>
      </c>
      <c r="M55" s="70"/>
      <c r="P55" s="57"/>
    </row>
    <row r="56" ht="12.75" customHeight="1">
      <c r="A56" s="46" t="str">
        <f>IFERROR(__xludf.DUMMYFUNCTION("+B56&amp;""_""&amp;C56"),"FC_2")</f>
        <v>FC_2</v>
      </c>
      <c r="B56" s="51" t="s">
        <v>39</v>
      </c>
      <c r="C56" s="52">
        <v>2.0</v>
      </c>
      <c r="D56" s="52">
        <v>110.0</v>
      </c>
      <c r="M56" s="70"/>
      <c r="P56" s="57"/>
    </row>
    <row r="57" ht="12.75" customHeight="1">
      <c r="A57" s="46" t="str">
        <f>IFERROR(__xludf.DUMMYFUNCTION("+B57&amp;""_""&amp;C57"),"FD_1")</f>
        <v>FD_1</v>
      </c>
      <c r="B57" s="51" t="s">
        <v>40</v>
      </c>
      <c r="C57" s="52">
        <v>1.0</v>
      </c>
      <c r="D57" s="52">
        <v>41.0</v>
      </c>
      <c r="M57" s="70"/>
      <c r="P57" s="57"/>
    </row>
    <row r="58" ht="12.75" customHeight="1">
      <c r="A58" s="46" t="str">
        <f>IFERROR(__xludf.DUMMYFUNCTION("+B58&amp;""_""&amp;C58"),"FD_2")</f>
        <v>FD_2</v>
      </c>
      <c r="B58" s="51" t="s">
        <v>40</v>
      </c>
      <c r="C58" s="52">
        <v>2.0</v>
      </c>
      <c r="D58" s="52">
        <v>29.0</v>
      </c>
      <c r="M58" s="70"/>
      <c r="P58" s="57"/>
    </row>
    <row r="59" ht="12.75" customHeight="1">
      <c r="A59" s="46" t="str">
        <f>IFERROR(__xludf.DUMMYFUNCTION("+B59&amp;""_""&amp;C59"),"GA_1")</f>
        <v>GA_1</v>
      </c>
      <c r="B59" s="51" t="s">
        <v>42</v>
      </c>
      <c r="C59" s="52">
        <v>1.0</v>
      </c>
      <c r="D59" s="52">
        <v>209.0</v>
      </c>
      <c r="M59" s="70"/>
      <c r="P59" s="57"/>
    </row>
    <row r="60" ht="12.75" customHeight="1">
      <c r="A60" s="46" t="str">
        <f>IFERROR(__xludf.DUMMYFUNCTION("+B60&amp;""_""&amp;C60"),"GA_2")</f>
        <v>GA_2</v>
      </c>
      <c r="B60" s="51" t="s">
        <v>42</v>
      </c>
      <c r="C60" s="52">
        <v>2.0</v>
      </c>
      <c r="D60" s="52">
        <v>17.0</v>
      </c>
      <c r="M60" s="70"/>
      <c r="P60" s="57"/>
    </row>
    <row r="61" ht="12.75" customHeight="1">
      <c r="A61" s="46" t="str">
        <f>IFERROR(__xludf.DUMMYFUNCTION("+B61&amp;""_""&amp;C61"),"GA|GB_1")</f>
        <v>GA|GB_1</v>
      </c>
      <c r="B61" s="51" t="s">
        <v>43</v>
      </c>
      <c r="C61" s="52">
        <v>1.0</v>
      </c>
      <c r="D61" s="52">
        <v>22.0</v>
      </c>
      <c r="M61" s="70"/>
      <c r="P61" s="57"/>
    </row>
    <row r="62" ht="12.75" customHeight="1">
      <c r="A62" s="46" t="str">
        <f>IFERROR(__xludf.DUMMYFUNCTION("+B62&amp;""_""&amp;C62"),"GA|GB_2")</f>
        <v>GA|GB_2</v>
      </c>
      <c r="B62" s="51" t="s">
        <v>43</v>
      </c>
      <c r="C62" s="52">
        <v>2.0</v>
      </c>
      <c r="D62" s="52">
        <v>1.0</v>
      </c>
      <c r="M62" s="70"/>
      <c r="P62" s="57"/>
    </row>
    <row r="63" ht="12.75" customHeight="1">
      <c r="A63" s="46" t="str">
        <f>IFERROR(__xludf.DUMMYFUNCTION("+B63&amp;""_""&amp;C63"),"GB_1")</f>
        <v>GB_1</v>
      </c>
      <c r="B63" s="51" t="s">
        <v>44</v>
      </c>
      <c r="C63" s="52">
        <v>1.0</v>
      </c>
      <c r="D63" s="52">
        <v>109.0</v>
      </c>
      <c r="M63" s="70"/>
      <c r="P63" s="57"/>
    </row>
    <row r="64" ht="12.75" customHeight="1">
      <c r="A64" s="46" t="str">
        <f>IFERROR(__xludf.DUMMYFUNCTION("+B64&amp;""_""&amp;C64"),"GB_2")</f>
        <v>GB_2</v>
      </c>
      <c r="B64" s="51" t="s">
        <v>44</v>
      </c>
      <c r="C64" s="52">
        <v>2.0</v>
      </c>
      <c r="D64" s="52">
        <v>44.0</v>
      </c>
      <c r="M64" s="70"/>
      <c r="P64" s="57"/>
    </row>
    <row r="65" ht="12.75" customHeight="1">
      <c r="A65" s="46" t="str">
        <f>IFERROR(__xludf.DUMMYFUNCTION("+B65&amp;""_""&amp;C65"),"GC_1")</f>
        <v>GC_1</v>
      </c>
      <c r="B65" s="51" t="s">
        <v>45</v>
      </c>
      <c r="C65" s="52">
        <v>1.0</v>
      </c>
      <c r="D65" s="52">
        <v>53.0</v>
      </c>
      <c r="M65" s="70"/>
      <c r="P65" s="57"/>
    </row>
    <row r="66" ht="12.75" customHeight="1">
      <c r="A66" s="46" t="str">
        <f>IFERROR(__xludf.DUMMYFUNCTION("+B66&amp;""_""&amp;C66"),"GC_2")</f>
        <v>GC_2</v>
      </c>
      <c r="B66" s="51" t="s">
        <v>45</v>
      </c>
      <c r="C66" s="52">
        <v>2.0</v>
      </c>
      <c r="D66" s="52">
        <v>58.0</v>
      </c>
      <c r="M66" s="70"/>
      <c r="P66" s="57"/>
    </row>
    <row r="67" ht="12.75" customHeight="1">
      <c r="A67" s="46" t="str">
        <f>IFERROR(__xludf.DUMMYFUNCTION("+B67&amp;""_""&amp;C67"),"JA_1")</f>
        <v>JA_1</v>
      </c>
      <c r="B67" s="51" t="s">
        <v>47</v>
      </c>
      <c r="C67" s="52">
        <v>1.0</v>
      </c>
      <c r="D67" s="52">
        <v>4.0</v>
      </c>
      <c r="M67" s="70"/>
      <c r="P67" s="57"/>
    </row>
    <row r="68" ht="12.75" customHeight="1">
      <c r="A68" s="46" t="str">
        <f>IFERROR(__xludf.DUMMYFUNCTION("+B68&amp;""_""&amp;C68"),"JA_2")</f>
        <v>JA_2</v>
      </c>
      <c r="B68" s="51" t="s">
        <v>47</v>
      </c>
      <c r="C68" s="52">
        <v>2.0</v>
      </c>
      <c r="D68" s="52">
        <v>51.0</v>
      </c>
      <c r="M68" s="70"/>
      <c r="P68" s="57"/>
    </row>
    <row r="69" ht="12.75" customHeight="1">
      <c r="A69" s="46" t="str">
        <f>IFERROR(__xludf.DUMMYFUNCTION("+B69&amp;""_""&amp;C69"),"JB_1")</f>
        <v>JB_1</v>
      </c>
      <c r="B69" s="51" t="s">
        <v>48</v>
      </c>
      <c r="C69" s="52">
        <v>1.0</v>
      </c>
      <c r="D69" s="52">
        <v>59.0</v>
      </c>
      <c r="M69" s="70"/>
      <c r="P69" s="57"/>
    </row>
    <row r="70" ht="12.75" customHeight="1">
      <c r="A70" s="46" t="str">
        <f>IFERROR(__xludf.DUMMYFUNCTION("+B70&amp;""_""&amp;C70"),"JB_2")</f>
        <v>JB_2</v>
      </c>
      <c r="B70" s="51" t="s">
        <v>48</v>
      </c>
      <c r="C70" s="52">
        <v>2.0</v>
      </c>
      <c r="D70" s="52">
        <v>202.0</v>
      </c>
      <c r="M70" s="70"/>
      <c r="P70" s="57"/>
    </row>
    <row r="71" ht="12.75" customHeight="1">
      <c r="A71" s="46" t="str">
        <f>IFERROR(__xludf.DUMMYFUNCTION("+B71&amp;""_""&amp;C71"),"JC_1")</f>
        <v>JC_1</v>
      </c>
      <c r="B71" s="51" t="s">
        <v>49</v>
      </c>
      <c r="C71" s="52">
        <v>1.0</v>
      </c>
      <c r="D71" s="52">
        <v>270.0</v>
      </c>
      <c r="M71" s="70"/>
      <c r="P71" s="57"/>
    </row>
    <row r="72" ht="12.75" customHeight="1">
      <c r="A72" s="46" t="str">
        <f>IFERROR(__xludf.DUMMYFUNCTION("+B72&amp;""_""&amp;C72"),"JC_2")</f>
        <v>JC_2</v>
      </c>
      <c r="B72" s="51" t="s">
        <v>49</v>
      </c>
      <c r="C72" s="52">
        <v>2.0</v>
      </c>
      <c r="D72" s="52">
        <v>1549.0</v>
      </c>
      <c r="M72" s="70"/>
      <c r="P72" s="57"/>
    </row>
    <row r="73" ht="12.75" customHeight="1">
      <c r="A73" s="46" t="str">
        <f>IFERROR(__xludf.DUMMYFUNCTION("+B73&amp;""_""&amp;C73"),"JC|JD|JE_1")</f>
        <v>JC|JD|JE_1</v>
      </c>
      <c r="B73" s="51" t="s">
        <v>50</v>
      </c>
      <c r="C73" s="52">
        <v>1.0</v>
      </c>
      <c r="D73" s="52">
        <v>3.0</v>
      </c>
      <c r="M73" s="70"/>
      <c r="P73" s="57"/>
    </row>
    <row r="74" ht="12.75" customHeight="1">
      <c r="A74" s="46" t="str">
        <f>IFERROR(__xludf.DUMMYFUNCTION("+B74&amp;""_""&amp;C74"),"JC|JD|JE_2")</f>
        <v>JC|JD|JE_2</v>
      </c>
      <c r="B74" s="51" t="s">
        <v>50</v>
      </c>
      <c r="C74" s="52">
        <v>2.0</v>
      </c>
      <c r="D74" s="52">
        <v>27.0</v>
      </c>
      <c r="M74" s="70"/>
      <c r="P74" s="57"/>
    </row>
    <row r="75" ht="12.75" customHeight="1">
      <c r="A75" s="46" t="str">
        <f>IFERROR(__xludf.DUMMYFUNCTION("+B75&amp;""_""&amp;C75"),"JD_1")</f>
        <v>JD_1</v>
      </c>
      <c r="B75" s="51" t="s">
        <v>51</v>
      </c>
      <c r="C75" s="52">
        <v>1.0</v>
      </c>
      <c r="D75" s="52">
        <v>48.0</v>
      </c>
      <c r="M75" s="70"/>
      <c r="P75" s="57"/>
    </row>
    <row r="76" ht="12.75" customHeight="1">
      <c r="A76" s="46" t="str">
        <f>IFERROR(__xludf.DUMMYFUNCTION("+B76&amp;""_""&amp;C76"),"JD_2")</f>
        <v>JD_2</v>
      </c>
      <c r="B76" s="51" t="s">
        <v>51</v>
      </c>
      <c r="C76" s="52">
        <v>2.0</v>
      </c>
      <c r="D76" s="52">
        <v>327.0</v>
      </c>
      <c r="M76" s="70"/>
      <c r="P76" s="57"/>
    </row>
    <row r="77" ht="12.75" customHeight="1">
      <c r="A77" s="46" t="str">
        <f>IFERROR(__xludf.DUMMYFUNCTION("+B77&amp;""_""&amp;C77"),"JE_1")</f>
        <v>JE_1</v>
      </c>
      <c r="B77" s="51" t="s">
        <v>52</v>
      </c>
      <c r="C77" s="52">
        <v>1.0</v>
      </c>
      <c r="D77" s="52">
        <v>189.0</v>
      </c>
      <c r="M77" s="70"/>
      <c r="P77" s="57"/>
    </row>
    <row r="78" ht="12.75" customHeight="1">
      <c r="A78" s="46" t="str">
        <f>IFERROR(__xludf.DUMMYFUNCTION("+B78&amp;""_""&amp;C78"),"JE_2")</f>
        <v>JE_2</v>
      </c>
      <c r="B78" s="51" t="s">
        <v>52</v>
      </c>
      <c r="C78" s="52">
        <v>2.0</v>
      </c>
      <c r="D78" s="52">
        <v>833.0</v>
      </c>
      <c r="M78" s="70"/>
      <c r="P78" s="57"/>
    </row>
    <row r="79" ht="12.75" customHeight="1">
      <c r="A79" s="46" t="str">
        <f>IFERROR(__xludf.DUMMYFUNCTION("+B79&amp;""_""&amp;C79"),"JF_1")</f>
        <v>JF_1</v>
      </c>
      <c r="B79" s="51" t="s">
        <v>53</v>
      </c>
      <c r="C79" s="52">
        <v>1.0</v>
      </c>
      <c r="D79" s="52">
        <v>7.0</v>
      </c>
      <c r="M79" s="70"/>
      <c r="P79" s="57"/>
    </row>
    <row r="80" ht="12.75" customHeight="1">
      <c r="A80" s="46" t="str">
        <f>IFERROR(__xludf.DUMMYFUNCTION("+B80&amp;""_""&amp;C80"),"JF_2")</f>
        <v>JF_2</v>
      </c>
      <c r="B80" s="51" t="s">
        <v>53</v>
      </c>
      <c r="C80" s="52">
        <v>2.0</v>
      </c>
      <c r="D80" s="52">
        <v>23.0</v>
      </c>
      <c r="M80" s="70"/>
      <c r="P80" s="57"/>
    </row>
    <row r="81" ht="15.0" customHeight="1">
      <c r="E81" s="46">
        <f>SUM(D4:D80)</f>
        <v>12831</v>
      </c>
      <c r="M81" s="70"/>
      <c r="P81" s="57"/>
    </row>
    <row r="82" ht="15.0" customHeight="1">
      <c r="M82" s="70"/>
      <c r="P82" s="57"/>
    </row>
    <row r="83" ht="15.0" customHeight="1">
      <c r="M83" s="70"/>
      <c r="P83" s="57"/>
    </row>
    <row r="84" ht="15.0" customHeight="1">
      <c r="M84" s="70"/>
      <c r="P84" s="57"/>
    </row>
    <row r="85" ht="15.0" customHeight="1">
      <c r="M85" s="70"/>
      <c r="P85" s="57"/>
    </row>
    <row r="86" ht="15.0" customHeight="1">
      <c r="M86" s="71"/>
      <c r="N86" s="72"/>
      <c r="O86" s="72"/>
      <c r="P86" s="61"/>
    </row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9">
    <mergeCell ref="P36:P42"/>
    <mergeCell ref="M47:P86"/>
    <mergeCell ref="P4:P7"/>
    <mergeCell ref="P8:P13"/>
    <mergeCell ref="P14:P17"/>
    <mergeCell ref="P18:P21"/>
    <mergeCell ref="P22:P27"/>
    <mergeCell ref="P28:P31"/>
    <mergeCell ref="P32:P35"/>
  </mergeCells>
  <printOptions/>
  <pageMargins bottom="0.75" footer="0.0" header="0.0" left="0.7" right="0.7" top="0.75"/>
  <pageSetup paperSize="9" orientation="portrait"/>
  <drawing r:id="rId1"/>
</worksheet>
</file>